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c106815\Desktop\"/>
    </mc:Choice>
  </mc:AlternateContent>
  <xr:revisionPtr revIDLastSave="0" documentId="13_ncr:1_{18FB963D-05B9-4420-AD58-45A30E8C4E17}" xr6:coauthVersionLast="47" xr6:coauthVersionMax="47" xr10:uidLastSave="{00000000-0000-0000-0000-000000000000}"/>
  <bookViews>
    <workbookView xWindow="-120" yWindow="-120" windowWidth="29040" windowHeight="15840" xr2:uid="{C549F42B-2AD5-4A68-8551-2E82D7308817}"/>
  </bookViews>
  <sheets>
    <sheet name="Vermögensaufbau" sheetId="1" r:id="rId1"/>
    <sheet name="Sparen 20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R6" i="1"/>
  <c r="B6" i="1"/>
  <c r="B7" i="1"/>
  <c r="B8" i="1"/>
  <c r="F6" i="1"/>
  <c r="G22" i="2"/>
  <c r="H22" i="2" s="1"/>
  <c r="F22" i="2"/>
  <c r="H21" i="2"/>
  <c r="H20" i="2"/>
  <c r="H19" i="2"/>
  <c r="H18" i="2"/>
  <c r="H17" i="2"/>
  <c r="H16" i="2"/>
  <c r="H15" i="2"/>
  <c r="H14" i="2"/>
  <c r="H13" i="2"/>
  <c r="H12" i="2"/>
  <c r="H11" i="2"/>
  <c r="H10" i="2"/>
  <c r="C6" i="2"/>
  <c r="C5" i="2"/>
  <c r="C7" i="2" s="1"/>
  <c r="M35" i="1"/>
  <c r="B35" i="1"/>
  <c r="M34" i="1"/>
  <c r="B34" i="1"/>
  <c r="M33" i="1"/>
  <c r="B33" i="1"/>
  <c r="M32" i="1"/>
  <c r="B32" i="1"/>
  <c r="M31" i="1"/>
  <c r="B31" i="1"/>
  <c r="M30" i="1"/>
  <c r="B30" i="1"/>
  <c r="M29" i="1"/>
  <c r="B29" i="1"/>
  <c r="M28" i="1"/>
  <c r="B28" i="1"/>
  <c r="M27" i="1"/>
  <c r="B27" i="1"/>
  <c r="M26" i="1"/>
  <c r="B26" i="1"/>
  <c r="M25" i="1"/>
  <c r="B25" i="1"/>
  <c r="M24" i="1"/>
  <c r="B24" i="1"/>
  <c r="M23" i="1"/>
  <c r="B23" i="1"/>
  <c r="M22" i="1"/>
  <c r="B22" i="1"/>
  <c r="M21" i="1"/>
  <c r="B21" i="1"/>
  <c r="M20" i="1"/>
  <c r="B20" i="1"/>
  <c r="M19" i="1"/>
  <c r="B19" i="1"/>
  <c r="M18" i="1"/>
  <c r="B18" i="1"/>
  <c r="M17" i="1"/>
  <c r="B17" i="1"/>
  <c r="M16" i="1"/>
  <c r="B16" i="1"/>
  <c r="M15" i="1"/>
  <c r="B15" i="1"/>
  <c r="M14" i="1"/>
  <c r="B14" i="1"/>
  <c r="M13" i="1"/>
  <c r="B13" i="1"/>
  <c r="M12" i="1"/>
  <c r="B12" i="1"/>
  <c r="M11" i="1"/>
  <c r="B11" i="1"/>
  <c r="M10" i="1"/>
  <c r="F10" i="1"/>
  <c r="F11" i="1" s="1"/>
  <c r="B10" i="1"/>
  <c r="B9" i="1"/>
  <c r="M7" i="1"/>
  <c r="M6" i="1"/>
  <c r="J6" i="1"/>
  <c r="O6" i="1" s="1"/>
  <c r="W5" i="1"/>
  <c r="G6" i="1" l="1"/>
  <c r="F7" i="1"/>
  <c r="L6" i="1"/>
  <c r="Q6" i="1"/>
  <c r="C10" i="2"/>
  <c r="C20" i="2"/>
  <c r="E20" i="2" s="1"/>
  <c r="C12" i="2"/>
  <c r="E12" i="2" s="1"/>
  <c r="C21" i="2"/>
  <c r="E21" i="2" s="1"/>
  <c r="C17" i="2"/>
  <c r="E17" i="2" s="1"/>
  <c r="C14" i="2"/>
  <c r="E14" i="2" s="1"/>
  <c r="C18" i="2"/>
  <c r="E18" i="2" s="1"/>
  <c r="C15" i="2"/>
  <c r="E15" i="2" s="1"/>
  <c r="C19" i="2"/>
  <c r="E19" i="2" s="1"/>
  <c r="C11" i="2"/>
  <c r="E11" i="2" s="1"/>
  <c r="C16" i="2"/>
  <c r="E16" i="2" s="1"/>
  <c r="C13" i="2"/>
  <c r="E13" i="2" s="1"/>
  <c r="C3" i="2"/>
  <c r="D22" i="2"/>
  <c r="J7" i="1"/>
  <c r="I11" i="1"/>
  <c r="F12" i="1"/>
  <c r="N6" i="1"/>
  <c r="I10" i="1"/>
  <c r="P6" i="1" l="1"/>
  <c r="P7" i="1" s="1"/>
  <c r="I6" i="1"/>
  <c r="G7" i="1"/>
  <c r="F8" i="1"/>
  <c r="I7" i="1"/>
  <c r="R7" i="1"/>
  <c r="V7" i="1" s="1"/>
  <c r="N7" i="1"/>
  <c r="Q7" i="1"/>
  <c r="L7" i="1"/>
  <c r="C2" i="2"/>
  <c r="C1" i="2" s="1"/>
  <c r="C22" i="2"/>
  <c r="E22" i="2" s="1"/>
  <c r="E10" i="2"/>
  <c r="I12" i="1"/>
  <c r="F13" i="1"/>
  <c r="M8" i="1"/>
  <c r="O7" i="1"/>
  <c r="P8" i="1" l="1"/>
  <c r="R8" i="1"/>
  <c r="S8" i="1" s="1"/>
  <c r="U6" i="1"/>
  <c r="W6" i="1"/>
  <c r="X6" i="1" s="1"/>
  <c r="T6" i="1"/>
  <c r="S6" i="1"/>
  <c r="S7" i="1"/>
  <c r="W7" i="1"/>
  <c r="X7" i="1" s="1"/>
  <c r="G8" i="1"/>
  <c r="F9" i="1"/>
  <c r="I9" i="1" s="1"/>
  <c r="I8" i="1"/>
  <c r="T7" i="1"/>
  <c r="U7" i="1"/>
  <c r="M9" i="1"/>
  <c r="F14" i="1"/>
  <c r="I13" i="1"/>
  <c r="J8" i="1"/>
  <c r="N8" i="1" s="1"/>
  <c r="V8" i="1" l="1"/>
  <c r="W8" i="1"/>
  <c r="X8" i="1" s="1"/>
  <c r="R9" i="1"/>
  <c r="P9" i="1"/>
  <c r="P10" i="1" s="1"/>
  <c r="P11" i="1" s="1"/>
  <c r="P12" i="1" s="1"/>
  <c r="P13" i="1" s="1"/>
  <c r="P14" i="1" s="1"/>
  <c r="G9" i="1"/>
  <c r="G10" i="1" s="1"/>
  <c r="G11" i="1" s="1"/>
  <c r="G12" i="1" s="1"/>
  <c r="G13" i="1" s="1"/>
  <c r="Q8" i="1"/>
  <c r="O8" i="1"/>
  <c r="U8" i="1" s="1"/>
  <c r="L8" i="1"/>
  <c r="G14" i="1"/>
  <c r="I14" i="1"/>
  <c r="F15" i="1"/>
  <c r="S9" i="1" l="1"/>
  <c r="H1" i="1"/>
  <c r="V9" i="1"/>
  <c r="R10" i="1"/>
  <c r="W10" i="1" s="1"/>
  <c r="X10" i="1" s="1"/>
  <c r="W9" i="1"/>
  <c r="X9" i="1" s="1"/>
  <c r="J9" i="1"/>
  <c r="L9" i="1" s="1"/>
  <c r="T8" i="1"/>
  <c r="G15" i="1"/>
  <c r="I15" i="1"/>
  <c r="F16" i="1"/>
  <c r="P15" i="1"/>
  <c r="R11" i="1" l="1"/>
  <c r="R12" i="1" s="1"/>
  <c r="V10" i="1"/>
  <c r="S10" i="1"/>
  <c r="N9" i="1"/>
  <c r="Q9" i="1"/>
  <c r="O9" i="1"/>
  <c r="G16" i="1"/>
  <c r="F17" i="1"/>
  <c r="P16" i="1"/>
  <c r="I16" i="1"/>
  <c r="S11" i="1" l="1"/>
  <c r="V11" i="1"/>
  <c r="W11" i="1"/>
  <c r="X11" i="1" s="1"/>
  <c r="U9" i="1"/>
  <c r="T9" i="1"/>
  <c r="J10" i="1"/>
  <c r="G17" i="1"/>
  <c r="I17" i="1"/>
  <c r="F18" i="1"/>
  <c r="P17" i="1"/>
  <c r="S12" i="1"/>
  <c r="W12" i="1"/>
  <c r="X12" i="1" s="1"/>
  <c r="R13" i="1"/>
  <c r="V12" i="1"/>
  <c r="N10" i="1" l="1"/>
  <c r="O10" i="1"/>
  <c r="Q10" i="1"/>
  <c r="L10" i="1"/>
  <c r="G18" i="1"/>
  <c r="F19" i="1"/>
  <c r="P18" i="1"/>
  <c r="I18" i="1"/>
  <c r="S13" i="1"/>
  <c r="W13" i="1"/>
  <c r="X13" i="1" s="1"/>
  <c r="R14" i="1"/>
  <c r="V13" i="1"/>
  <c r="U10" i="1" l="1"/>
  <c r="T10" i="1"/>
  <c r="J11" i="1"/>
  <c r="G19" i="1"/>
  <c r="P19" i="1"/>
  <c r="F20" i="1"/>
  <c r="I19" i="1"/>
  <c r="W14" i="1"/>
  <c r="X14" i="1" s="1"/>
  <c r="S14" i="1"/>
  <c r="V14" i="1"/>
  <c r="R15" i="1"/>
  <c r="O11" i="1" l="1"/>
  <c r="Q11" i="1"/>
  <c r="L11" i="1"/>
  <c r="N11" i="1"/>
  <c r="G20" i="1"/>
  <c r="P20" i="1"/>
  <c r="F21" i="1"/>
  <c r="I20" i="1"/>
  <c r="W15" i="1"/>
  <c r="X15" i="1" s="1"/>
  <c r="S15" i="1"/>
  <c r="R16" i="1"/>
  <c r="V15" i="1"/>
  <c r="J12" i="1" l="1"/>
  <c r="L12" i="1" s="1"/>
  <c r="U11" i="1"/>
  <c r="T11" i="1"/>
  <c r="G21" i="1"/>
  <c r="P21" i="1"/>
  <c r="F22" i="1"/>
  <c r="I21" i="1"/>
  <c r="S16" i="1"/>
  <c r="W16" i="1"/>
  <c r="X16" i="1" s="1"/>
  <c r="R17" i="1"/>
  <c r="V16" i="1"/>
  <c r="O12" i="1" l="1"/>
  <c r="N12" i="1"/>
  <c r="Q12" i="1"/>
  <c r="S17" i="1"/>
  <c r="W17" i="1"/>
  <c r="X17" i="1" s="1"/>
  <c r="V17" i="1"/>
  <c r="R18" i="1"/>
  <c r="F23" i="1"/>
  <c r="I22" i="1"/>
  <c r="G22" i="1"/>
  <c r="P22" i="1"/>
  <c r="U12" i="1" l="1"/>
  <c r="T12" i="1"/>
  <c r="J13" i="1"/>
  <c r="W18" i="1"/>
  <c r="X18" i="1" s="1"/>
  <c r="S18" i="1"/>
  <c r="R19" i="1"/>
  <c r="V18" i="1"/>
  <c r="P23" i="1"/>
  <c r="G23" i="1"/>
  <c r="I23" i="1"/>
  <c r="F24" i="1"/>
  <c r="L13" i="1" l="1"/>
  <c r="N13" i="1"/>
  <c r="Q13" i="1"/>
  <c r="O13" i="1"/>
  <c r="F25" i="1"/>
  <c r="I24" i="1"/>
  <c r="G24" i="1"/>
  <c r="P24" i="1"/>
  <c r="W19" i="1"/>
  <c r="X19" i="1" s="1"/>
  <c r="S19" i="1"/>
  <c r="V19" i="1"/>
  <c r="R20" i="1"/>
  <c r="U13" i="1" l="1"/>
  <c r="J14" i="1"/>
  <c r="T13" i="1"/>
  <c r="V20" i="1"/>
  <c r="S20" i="1"/>
  <c r="W20" i="1"/>
  <c r="X20" i="1" s="1"/>
  <c r="R21" i="1"/>
  <c r="G25" i="1"/>
  <c r="P25" i="1"/>
  <c r="I25" i="1"/>
  <c r="F26" i="1"/>
  <c r="N14" i="1" l="1"/>
  <c r="L14" i="1"/>
  <c r="Q14" i="1"/>
  <c r="O14" i="1"/>
  <c r="R22" i="1"/>
  <c r="S21" i="1"/>
  <c r="W21" i="1"/>
  <c r="X21" i="1" s="1"/>
  <c r="V21" i="1"/>
  <c r="F27" i="1"/>
  <c r="I26" i="1"/>
  <c r="G26" i="1"/>
  <c r="P26" i="1"/>
  <c r="T14" i="1" l="1"/>
  <c r="J15" i="1"/>
  <c r="O15" i="1" s="1"/>
  <c r="U14" i="1"/>
  <c r="W22" i="1"/>
  <c r="X22" i="1" s="1"/>
  <c r="S22" i="1"/>
  <c r="R23" i="1"/>
  <c r="V22" i="1"/>
  <c r="P27" i="1"/>
  <c r="G27" i="1"/>
  <c r="I27" i="1"/>
  <c r="F28" i="1"/>
  <c r="J16" i="1" l="1"/>
  <c r="U15" i="1"/>
  <c r="T15" i="1"/>
  <c r="L15" i="1"/>
  <c r="Q15" i="1"/>
  <c r="N15" i="1"/>
  <c r="W23" i="1"/>
  <c r="X23" i="1" s="1"/>
  <c r="R24" i="1"/>
  <c r="S23" i="1"/>
  <c r="V23" i="1"/>
  <c r="F29" i="1"/>
  <c r="I28" i="1"/>
  <c r="G28" i="1"/>
  <c r="P28" i="1"/>
  <c r="O16" i="1" l="1"/>
  <c r="L16" i="1"/>
  <c r="Q16" i="1"/>
  <c r="N16" i="1"/>
  <c r="G29" i="1"/>
  <c r="P29" i="1"/>
  <c r="I29" i="1"/>
  <c r="F30" i="1"/>
  <c r="V24" i="1"/>
  <c r="S24" i="1"/>
  <c r="W24" i="1"/>
  <c r="X24" i="1" s="1"/>
  <c r="R25" i="1"/>
  <c r="J17" i="1" l="1"/>
  <c r="T16" i="1"/>
  <c r="U16" i="1"/>
  <c r="R26" i="1"/>
  <c r="S25" i="1"/>
  <c r="W25" i="1"/>
  <c r="X25" i="1" s="1"/>
  <c r="V25" i="1"/>
  <c r="F31" i="1"/>
  <c r="I30" i="1"/>
  <c r="G30" i="1"/>
  <c r="P30" i="1"/>
  <c r="O17" i="1" l="1"/>
  <c r="Q17" i="1"/>
  <c r="N17" i="1"/>
  <c r="L17" i="1"/>
  <c r="W26" i="1"/>
  <c r="X26" i="1" s="1"/>
  <c r="V26" i="1"/>
  <c r="S26" i="1"/>
  <c r="R27" i="1"/>
  <c r="P31" i="1"/>
  <c r="G31" i="1"/>
  <c r="F32" i="1"/>
  <c r="I31" i="1"/>
  <c r="U17" i="1" l="1"/>
  <c r="T17" i="1"/>
  <c r="J18" i="1"/>
  <c r="O18" i="1" s="1"/>
  <c r="F33" i="1"/>
  <c r="I32" i="1"/>
  <c r="G32" i="1"/>
  <c r="P32" i="1"/>
  <c r="W27" i="1"/>
  <c r="X27" i="1" s="1"/>
  <c r="R28" i="1"/>
  <c r="S27" i="1"/>
  <c r="V27" i="1"/>
  <c r="J19" i="1" l="1"/>
  <c r="O19" i="1" s="1"/>
  <c r="T18" i="1"/>
  <c r="U18" i="1"/>
  <c r="N18" i="1"/>
  <c r="L18" i="1"/>
  <c r="Q18" i="1"/>
  <c r="F34" i="1"/>
  <c r="G33" i="1"/>
  <c r="P33" i="1"/>
  <c r="I33" i="1"/>
  <c r="V28" i="1"/>
  <c r="S28" i="1"/>
  <c r="W28" i="1"/>
  <c r="X28" i="1" s="1"/>
  <c r="R29" i="1"/>
  <c r="U19" i="1" l="1"/>
  <c r="T19" i="1"/>
  <c r="J20" i="1"/>
  <c r="N19" i="1"/>
  <c r="L19" i="1"/>
  <c r="Q19" i="1"/>
  <c r="F35" i="1"/>
  <c r="I34" i="1"/>
  <c r="G34" i="1"/>
  <c r="P34" i="1"/>
  <c r="R30" i="1"/>
  <c r="S29" i="1"/>
  <c r="W29" i="1"/>
  <c r="X29" i="1" s="1"/>
  <c r="V29" i="1"/>
  <c r="L20" i="1" l="1"/>
  <c r="N20" i="1"/>
  <c r="Q20" i="1"/>
  <c r="O20" i="1"/>
  <c r="W30" i="1"/>
  <c r="X30" i="1" s="1"/>
  <c r="V30" i="1"/>
  <c r="S30" i="1"/>
  <c r="R31" i="1"/>
  <c r="P35" i="1"/>
  <c r="G35" i="1"/>
  <c r="I35" i="1"/>
  <c r="J21" i="1" l="1"/>
  <c r="U20" i="1"/>
  <c r="T20" i="1"/>
  <c r="W31" i="1"/>
  <c r="X31" i="1" s="1"/>
  <c r="R32" i="1"/>
  <c r="S31" i="1"/>
  <c r="V31" i="1"/>
  <c r="O21" i="1" l="1"/>
  <c r="Q21" i="1"/>
  <c r="N21" i="1"/>
  <c r="L21" i="1"/>
  <c r="V32" i="1"/>
  <c r="R33" i="1"/>
  <c r="S32" i="1"/>
  <c r="W32" i="1"/>
  <c r="X32" i="1" s="1"/>
  <c r="U21" i="1" l="1"/>
  <c r="T21" i="1"/>
  <c r="J22" i="1"/>
  <c r="O22" i="1" s="1"/>
  <c r="R34" i="1"/>
  <c r="S33" i="1"/>
  <c r="W33" i="1"/>
  <c r="X33" i="1" s="1"/>
  <c r="V33" i="1"/>
  <c r="Q22" i="1" l="1"/>
  <c r="N22" i="1"/>
  <c r="L22" i="1"/>
  <c r="T22" i="1"/>
  <c r="U22" i="1"/>
  <c r="J23" i="1"/>
  <c r="W34" i="1"/>
  <c r="X34" i="1" s="1"/>
  <c r="V34" i="1"/>
  <c r="S34" i="1"/>
  <c r="R35" i="1"/>
  <c r="O23" i="1" l="1"/>
  <c r="L23" i="1"/>
  <c r="N23" i="1"/>
  <c r="Q23" i="1"/>
  <c r="W35" i="1"/>
  <c r="X35" i="1" s="1"/>
  <c r="V35" i="1"/>
  <c r="S35" i="1"/>
  <c r="U23" i="1" l="1"/>
  <c r="J24" i="1"/>
  <c r="O24" i="1" s="1"/>
  <c r="T23" i="1"/>
  <c r="T24" i="1" l="1"/>
  <c r="U24" i="1"/>
  <c r="J25" i="1"/>
  <c r="O25" i="1" s="1"/>
  <c r="Q24" i="1"/>
  <c r="N24" i="1"/>
  <c r="L24" i="1"/>
  <c r="L25" i="1" l="1"/>
  <c r="Q25" i="1"/>
  <c r="N25" i="1"/>
  <c r="T25" i="1"/>
  <c r="U25" i="1"/>
  <c r="J26" i="1"/>
  <c r="O26" i="1" l="1"/>
  <c r="Q26" i="1"/>
  <c r="N26" i="1"/>
  <c r="L26" i="1"/>
  <c r="J27" i="1" l="1"/>
  <c r="O27" i="1" s="1"/>
  <c r="U26" i="1"/>
  <c r="T26" i="1"/>
  <c r="L27" i="1" l="1"/>
  <c r="T27" i="1"/>
  <c r="J28" i="1"/>
  <c r="O28" i="1" s="1"/>
  <c r="U27" i="1"/>
  <c r="Q27" i="1"/>
  <c r="N27" i="1"/>
  <c r="U28" i="1" l="1"/>
  <c r="J29" i="1"/>
  <c r="T28" i="1"/>
  <c r="Q28" i="1"/>
  <c r="N28" i="1"/>
  <c r="L28" i="1"/>
  <c r="N29" i="1" l="1"/>
  <c r="Q29" i="1"/>
  <c r="L29" i="1"/>
  <c r="O29" i="1"/>
  <c r="J30" i="1" l="1"/>
  <c r="O30" i="1" s="1"/>
  <c r="U29" i="1"/>
  <c r="T29" i="1"/>
  <c r="T30" i="1" l="1"/>
  <c r="U30" i="1"/>
  <c r="J31" i="1"/>
  <c r="O31" i="1" s="1"/>
  <c r="N30" i="1"/>
  <c r="L30" i="1"/>
  <c r="Q30" i="1"/>
  <c r="J32" i="1" l="1"/>
  <c r="O32" i="1" s="1"/>
  <c r="T31" i="1"/>
  <c r="U31" i="1"/>
  <c r="N31" i="1"/>
  <c r="L31" i="1"/>
  <c r="Q31" i="1"/>
  <c r="J33" i="1" l="1"/>
  <c r="O33" i="1" s="1"/>
  <c r="T32" i="1"/>
  <c r="U32" i="1"/>
  <c r="L32" i="1"/>
  <c r="Q32" i="1"/>
  <c r="N32" i="1"/>
  <c r="U33" i="1" l="1"/>
  <c r="T33" i="1"/>
  <c r="J34" i="1"/>
  <c r="L33" i="1"/>
  <c r="Q33" i="1"/>
  <c r="N33" i="1"/>
  <c r="N34" i="1" l="1"/>
  <c r="O34" i="1"/>
  <c r="L34" i="1"/>
  <c r="Q34" i="1"/>
  <c r="J35" i="1" l="1"/>
  <c r="U34" i="1"/>
  <c r="T34" i="1"/>
  <c r="O35" i="1" l="1"/>
  <c r="L35" i="1"/>
  <c r="Q35" i="1"/>
  <c r="N35" i="1"/>
  <c r="U35" i="1" l="1"/>
  <c r="T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tc={85F22386-3BE8-4EFC-ABF0-E8F6B31F5E0E}</author>
  </authors>
  <commentList>
    <comment ref="D22" authorId="0" shapeId="0" xr:uid="{85F22386-3BE8-4EFC-ABF0-E8F6B31F5E0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Dieser Wert wird in den Vermögensaufbau übertragen</t>
      </text>
    </comment>
  </commentList>
</comments>
</file>

<file path=xl/sharedStrings.xml><?xml version="1.0" encoding="utf-8"?>
<sst xmlns="http://schemas.openxmlformats.org/spreadsheetml/2006/main" count="51" uniqueCount="45">
  <si>
    <t>Vermögensaufbau</t>
  </si>
  <si>
    <t>ETF</t>
  </si>
  <si>
    <t>Rendite</t>
  </si>
  <si>
    <t>Dividende</t>
  </si>
  <si>
    <t>Jahr</t>
  </si>
  <si>
    <t>Alter</t>
  </si>
  <si>
    <t>Jahreszahl</t>
  </si>
  <si>
    <t>Investitions-Soll</t>
  </si>
  <si>
    <t>Kummuliert</t>
  </si>
  <si>
    <t>Investition-IST</t>
  </si>
  <si>
    <t>Zielerr.</t>
  </si>
  <si>
    <t>Gewinn Soll</t>
  </si>
  <si>
    <t>Gewinn Ist</t>
  </si>
  <si>
    <t>Gesamt Soll</t>
  </si>
  <si>
    <t>Investiert kum.</t>
  </si>
  <si>
    <t>Gewinn kum.</t>
  </si>
  <si>
    <t>Gesamt IST</t>
  </si>
  <si>
    <t>Delta</t>
  </si>
  <si>
    <t>Wachstum</t>
  </si>
  <si>
    <t>% Fixkosten</t>
  </si>
  <si>
    <t>-</t>
  </si>
  <si>
    <t>Sparen</t>
  </si>
  <si>
    <t>TradeRepublic</t>
  </si>
  <si>
    <t>ETF (DKB)</t>
  </si>
  <si>
    <t>Ziel:</t>
  </si>
  <si>
    <t>TradeRepbulic</t>
  </si>
  <si>
    <t>SOLL Aktien</t>
  </si>
  <si>
    <t>IST Aktien</t>
  </si>
  <si>
    <t>SOLL ETF</t>
  </si>
  <si>
    <t>IST ETF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</si>
  <si>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</si>
  <si>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</si>
  <si>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</si>
  <si>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</si>
  <si>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</si>
  <si>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</si>
  <si>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</si>
  <si>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</si>
  <si>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</si>
  <si>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</si>
  <si>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</si>
  <si>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</si>
  <si>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Monatl. Kosten</t>
  </si>
  <si>
    <t>Startkapital</t>
  </si>
  <si>
    <t>Investition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</si>
</sst>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%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5" fillId="2" borderId="1" xfId="0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" fillId="3" borderId="0" xfId="3" applyFill="1" applyProtection="1">
      <protection locked="0"/>
    </xf>
    <xf numFmtId="0" fontId="1" fillId="3" borderId="0" xfId="3" applyFill="1" applyAlignment="1" applyProtection="1">
      <alignment horizontal="center"/>
      <protection locked="0"/>
    </xf>
    <xf numFmtId="0" fontId="3" fillId="4" borderId="0" xfId="3" applyFont="1" applyFill="1" applyAlignment="1" applyProtection="1">
      <alignment horizontal="right" vertical="center"/>
      <protection locked="0"/>
    </xf>
    <xf numFmtId="0" fontId="3" fillId="4" borderId="0" xfId="3" applyFont="1" applyFill="1" applyAlignment="1" applyProtection="1">
      <alignment horizontal="left" vertical="center"/>
      <protection locked="0"/>
    </xf>
    <xf numFmtId="44" fontId="1" fillId="3" borderId="0" xfId="1" applyFont="1" applyFill="1" applyAlignment="1" applyProtection="1">
      <alignment horizontal="center" vertical="center"/>
      <protection locked="0"/>
    </xf>
    <xf numFmtId="0" fontId="1" fillId="3" borderId="0" xfId="3" applyFill="1" applyAlignment="1" applyProtection="1">
      <alignment horizontal="center" vertical="center"/>
      <protection locked="0"/>
    </xf>
    <xf numFmtId="0" fontId="8" fillId="3" borderId="0" xfId="3" applyFont="1" applyFill="1" applyAlignment="1" applyProtection="1">
      <alignment horizontal="center" vertical="center"/>
      <protection locked="0"/>
    </xf>
    <xf numFmtId="164" fontId="8" fillId="3" borderId="0" xfId="3" applyNumberFormat="1" applyFont="1" applyFill="1" applyAlignment="1" applyProtection="1">
      <alignment horizontal="center" vertical="center"/>
      <protection locked="0"/>
    </xf>
    <xf numFmtId="164" fontId="1" fillId="3" borderId="0" xfId="3" applyNumberFormat="1" applyFill="1" applyAlignment="1" applyProtection="1">
      <alignment horizontal="center" vertical="center"/>
      <protection locked="0"/>
    </xf>
    <xf numFmtId="0" fontId="1" fillId="0" borderId="0" xfId="3" applyProtection="1">
      <protection locked="0"/>
    </xf>
    <xf numFmtId="44" fontId="1" fillId="3" borderId="0" xfId="1" applyFont="1" applyFill="1" applyAlignment="1" applyProtection="1">
      <alignment horizontal="center"/>
      <protection locked="0"/>
    </xf>
    <xf numFmtId="44" fontId="1" fillId="3" borderId="4" xfId="1" applyFont="1" applyFill="1" applyBorder="1" applyAlignment="1" applyProtection="1">
      <alignment horizontal="center"/>
      <protection locked="0"/>
    </xf>
    <xf numFmtId="0" fontId="2" fillId="3" borderId="0" xfId="3" applyFont="1" applyFill="1" applyProtection="1">
      <protection locked="0"/>
    </xf>
    <xf numFmtId="0" fontId="2" fillId="0" borderId="0" xfId="3" applyFont="1" applyProtection="1">
      <protection locked="0"/>
    </xf>
    <xf numFmtId="0" fontId="2" fillId="5" borderId="5" xfId="3" applyFont="1" applyFill="1" applyBorder="1" applyAlignment="1" applyProtection="1">
      <alignment horizontal="center"/>
      <protection locked="0"/>
    </xf>
    <xf numFmtId="0" fontId="2" fillId="5" borderId="6" xfId="3" applyFont="1" applyFill="1" applyBorder="1" applyAlignment="1" applyProtection="1">
      <alignment horizontal="center"/>
      <protection locked="0"/>
    </xf>
    <xf numFmtId="0" fontId="2" fillId="5" borderId="7" xfId="3" applyFont="1" applyFill="1" applyBorder="1" applyAlignment="1" applyProtection="1">
      <alignment horizontal="center"/>
      <protection locked="0"/>
    </xf>
    <xf numFmtId="44" fontId="2" fillId="6" borderId="6" xfId="1" applyFont="1" applyFill="1" applyBorder="1" applyAlignment="1" applyProtection="1">
      <alignment horizontal="center"/>
      <protection locked="0"/>
    </xf>
    <xf numFmtId="0" fontId="2" fillId="6" borderId="7" xfId="3" applyFont="1" applyFill="1" applyBorder="1" applyAlignment="1" applyProtection="1">
      <alignment horizontal="center" vertical="center"/>
      <protection locked="0"/>
    </xf>
    <xf numFmtId="44" fontId="2" fillId="7" borderId="6" xfId="1" applyFont="1" applyFill="1" applyBorder="1" applyAlignment="1" applyProtection="1">
      <alignment horizontal="center" vertical="center"/>
      <protection locked="0"/>
    </xf>
    <xf numFmtId="0" fontId="2" fillId="7" borderId="6" xfId="3" applyFont="1" applyFill="1" applyBorder="1" applyAlignment="1" applyProtection="1">
      <alignment horizontal="center" vertical="center"/>
      <protection locked="0"/>
    </xf>
    <xf numFmtId="0" fontId="2" fillId="7" borderId="7" xfId="3" applyFont="1" applyFill="1" applyBorder="1" applyAlignment="1" applyProtection="1">
      <alignment horizontal="center" vertical="center"/>
      <protection locked="0"/>
    </xf>
    <xf numFmtId="0" fontId="2" fillId="6" borderId="6" xfId="3" applyFont="1" applyFill="1" applyBorder="1" applyAlignment="1" applyProtection="1">
      <alignment horizontal="center" vertical="center"/>
      <protection locked="0"/>
    </xf>
    <xf numFmtId="0" fontId="10" fillId="0" borderId="6" xfId="3" applyFont="1" applyBorder="1" applyAlignment="1" applyProtection="1">
      <alignment horizontal="center" vertical="center"/>
      <protection locked="0"/>
    </xf>
    <xf numFmtId="164" fontId="2" fillId="6" borderId="6" xfId="3" applyNumberFormat="1" applyFont="1" applyFill="1" applyBorder="1" applyAlignment="1" applyProtection="1">
      <alignment horizontal="center" vertical="center"/>
      <protection locked="0"/>
    </xf>
    <xf numFmtId="0" fontId="2" fillId="7" borderId="5" xfId="3" applyFont="1" applyFill="1" applyBorder="1" applyAlignment="1" applyProtection="1">
      <alignment horizontal="center" vertical="center"/>
      <protection locked="0"/>
    </xf>
    <xf numFmtId="0" fontId="2" fillId="7" borderId="7" xfId="3" applyFont="1" applyFill="1" applyBorder="1" applyAlignment="1" applyProtection="1">
      <alignment horizontal="center"/>
      <protection locked="0"/>
    </xf>
    <xf numFmtId="0" fontId="1" fillId="3" borderId="8" xfId="3" applyFill="1" applyBorder="1" applyProtection="1">
      <protection locked="0"/>
    </xf>
    <xf numFmtId="165" fontId="1" fillId="0" borderId="8" xfId="3" applyNumberFormat="1" applyBorder="1"/>
    <xf numFmtId="0" fontId="1" fillId="5" borderId="9" xfId="3" applyFill="1" applyBorder="1" applyAlignment="1">
      <alignment horizontal="center" vertical="center"/>
    </xf>
    <xf numFmtId="0" fontId="1" fillId="5" borderId="8" xfId="3" applyFill="1" applyBorder="1" applyAlignment="1">
      <alignment horizontal="center" vertical="center"/>
    </xf>
    <xf numFmtId="0" fontId="1" fillId="5" borderId="10" xfId="3" applyFill="1" applyBorder="1" applyAlignment="1">
      <alignment horizontal="center"/>
    </xf>
    <xf numFmtId="44" fontId="1" fillId="6" borderId="8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/>
    </xf>
    <xf numFmtId="9" fontId="1" fillId="6" borderId="10" xfId="2" applyFont="1" applyFill="1" applyBorder="1" applyAlignment="1" applyProtection="1">
      <alignment horizontal="center"/>
    </xf>
    <xf numFmtId="44" fontId="1" fillId="7" borderId="8" xfId="1" applyFont="1" applyFill="1" applyBorder="1" applyAlignment="1" applyProtection="1">
      <alignment horizontal="center" vertical="center"/>
    </xf>
    <xf numFmtId="164" fontId="8" fillId="7" borderId="8" xfId="2" applyNumberFormat="1" applyFont="1" applyFill="1" applyBorder="1" applyAlignment="1" applyProtection="1">
      <alignment horizontal="center" vertical="center"/>
    </xf>
    <xf numFmtId="165" fontId="8" fillId="7" borderId="8" xfId="2" applyNumberFormat="1" applyFont="1" applyFill="1" applyBorder="1" applyAlignment="1" applyProtection="1">
      <alignment horizontal="center" vertical="center"/>
    </xf>
    <xf numFmtId="9" fontId="1" fillId="7" borderId="10" xfId="2" applyFont="1" applyFill="1" applyBorder="1" applyAlignment="1" applyProtection="1">
      <alignment horizontal="center" vertical="center"/>
    </xf>
    <xf numFmtId="44" fontId="9" fillId="6" borderId="8" xfId="3" applyNumberFormat="1" applyFont="1" applyFill="1" applyBorder="1" applyAlignment="1">
      <alignment horizontal="center" vertical="center"/>
    </xf>
    <xf numFmtId="164" fontId="8" fillId="0" borderId="8" xfId="3" applyNumberFormat="1" applyFont="1" applyBorder="1" applyAlignment="1">
      <alignment horizontal="center" vertical="center"/>
    </xf>
    <xf numFmtId="164" fontId="8" fillId="6" borderId="8" xfId="3" applyNumberFormat="1" applyFont="1" applyFill="1" applyBorder="1" applyAlignment="1">
      <alignment horizontal="center" vertical="center"/>
    </xf>
    <xf numFmtId="164" fontId="1" fillId="6" borderId="8" xfId="3" applyNumberFormat="1" applyFill="1" applyBorder="1" applyAlignment="1">
      <alignment horizontal="right" vertical="center"/>
    </xf>
    <xf numFmtId="165" fontId="1" fillId="6" borderId="10" xfId="2" applyNumberFormat="1" applyFont="1" applyFill="1" applyBorder="1" applyAlignment="1" applyProtection="1">
      <alignment horizontal="center" vertical="center"/>
    </xf>
    <xf numFmtId="9" fontId="1" fillId="7" borderId="8" xfId="2" applyFont="1" applyFill="1" applyBorder="1" applyAlignment="1" applyProtection="1">
      <alignment horizontal="center" vertical="center"/>
    </xf>
    <xf numFmtId="44" fontId="1" fillId="7" borderId="10" xfId="3" applyNumberFormat="1" applyFill="1" applyBorder="1"/>
    <xf numFmtId="9" fontId="1" fillId="7" borderId="10" xfId="2" applyFont="1" applyFill="1" applyBorder="1" applyProtection="1"/>
    <xf numFmtId="0" fontId="1" fillId="5" borderId="11" xfId="3" applyFill="1" applyBorder="1" applyAlignment="1" applyProtection="1">
      <alignment horizontal="center" vertical="center"/>
      <protection locked="0"/>
    </xf>
    <xf numFmtId="0" fontId="1" fillId="5" borderId="0" xfId="3" applyFill="1" applyAlignment="1" applyProtection="1">
      <alignment horizontal="center" vertical="center"/>
      <protection locked="0"/>
    </xf>
    <xf numFmtId="0" fontId="1" fillId="5" borderId="3" xfId="3" applyFill="1" applyBorder="1" applyAlignment="1" applyProtection="1">
      <alignment horizontal="center"/>
      <protection locked="0"/>
    </xf>
    <xf numFmtId="44" fontId="1" fillId="6" borderId="0" xfId="1" applyFont="1" applyFill="1" applyBorder="1" applyAlignment="1" applyProtection="1">
      <alignment horizontal="center"/>
      <protection locked="0"/>
    </xf>
    <xf numFmtId="44" fontId="8" fillId="6" borderId="0" xfId="1" applyFont="1" applyFill="1" applyBorder="1" applyAlignment="1" applyProtection="1">
      <alignment horizontal="center"/>
      <protection locked="0"/>
    </xf>
    <xf numFmtId="9" fontId="1" fillId="6" borderId="3" xfId="2" applyFont="1" applyFill="1" applyBorder="1" applyAlignment="1" applyProtection="1">
      <alignment horizontal="center"/>
      <protection locked="0"/>
    </xf>
    <xf numFmtId="44" fontId="1" fillId="7" borderId="0" xfId="1" applyFont="1" applyFill="1" applyBorder="1" applyAlignment="1" applyProtection="1">
      <alignment horizontal="center" vertical="center"/>
      <protection locked="0"/>
    </xf>
    <xf numFmtId="164" fontId="8" fillId="7" borderId="0" xfId="2" applyNumberFormat="1" applyFont="1" applyFill="1" applyBorder="1" applyAlignment="1" applyProtection="1">
      <alignment horizontal="center" vertical="center"/>
      <protection locked="0"/>
    </xf>
    <xf numFmtId="164" fontId="8" fillId="7" borderId="8" xfId="2" applyNumberFormat="1" applyFont="1" applyFill="1" applyBorder="1" applyAlignment="1" applyProtection="1">
      <alignment horizontal="center" vertical="center"/>
      <protection locked="0"/>
    </xf>
    <xf numFmtId="165" fontId="8" fillId="7" borderId="0" xfId="2" applyNumberFormat="1" applyFont="1" applyFill="1" applyBorder="1" applyAlignment="1" applyProtection="1">
      <alignment horizontal="center" vertical="center"/>
      <protection locked="0"/>
    </xf>
    <xf numFmtId="9" fontId="1" fillId="7" borderId="3" xfId="2" applyFont="1" applyFill="1" applyBorder="1" applyAlignment="1" applyProtection="1">
      <alignment horizontal="center" vertical="center"/>
      <protection locked="0"/>
    </xf>
    <xf numFmtId="44" fontId="9" fillId="6" borderId="0" xfId="1" applyFont="1" applyFill="1" applyBorder="1" applyAlignment="1" applyProtection="1">
      <alignment horizontal="center" vertical="center"/>
      <protection locked="0"/>
    </xf>
    <xf numFmtId="164" fontId="8" fillId="0" borderId="0" xfId="3" applyNumberFormat="1" applyFont="1" applyAlignment="1" applyProtection="1">
      <alignment horizontal="center" vertical="center"/>
      <protection locked="0"/>
    </xf>
    <xf numFmtId="164" fontId="8" fillId="6" borderId="0" xfId="3" applyNumberFormat="1" applyFont="1" applyFill="1" applyAlignment="1" applyProtection="1">
      <alignment horizontal="center" vertical="center"/>
      <protection locked="0"/>
    </xf>
    <xf numFmtId="164" fontId="1" fillId="6" borderId="0" xfId="3" applyNumberFormat="1" applyFill="1" applyAlignment="1" applyProtection="1">
      <alignment horizontal="right" vertical="center"/>
      <protection locked="0"/>
    </xf>
    <xf numFmtId="165" fontId="1" fillId="6" borderId="3" xfId="2" applyNumberFormat="1" applyFont="1" applyFill="1" applyBorder="1" applyAlignment="1" applyProtection="1">
      <alignment horizontal="center" vertical="center"/>
      <protection locked="0"/>
    </xf>
    <xf numFmtId="9" fontId="1" fillId="7" borderId="0" xfId="2" applyFont="1" applyFill="1" applyBorder="1" applyAlignment="1" applyProtection="1">
      <alignment horizontal="center" vertical="center"/>
      <protection locked="0"/>
    </xf>
    <xf numFmtId="44" fontId="1" fillId="7" borderId="3" xfId="3" applyNumberFormat="1" applyFill="1" applyBorder="1" applyProtection="1">
      <protection locked="0"/>
    </xf>
    <xf numFmtId="9" fontId="1" fillId="7" borderId="3" xfId="2" applyFont="1" applyFill="1" applyBorder="1" applyProtection="1">
      <protection locked="0"/>
    </xf>
    <xf numFmtId="165" fontId="12" fillId="0" borderId="0" xfId="3" applyNumberFormat="1" applyFont="1" applyProtection="1">
      <protection locked="0"/>
    </xf>
    <xf numFmtId="165" fontId="13" fillId="0" borderId="0" xfId="3" applyNumberFormat="1" applyFont="1" applyProtection="1">
      <protection locked="0"/>
    </xf>
    <xf numFmtId="0" fontId="2" fillId="5" borderId="11" xfId="3" applyFont="1" applyFill="1" applyBorder="1" applyAlignment="1" applyProtection="1">
      <alignment horizontal="center" vertical="center"/>
      <protection locked="0"/>
    </xf>
    <xf numFmtId="0" fontId="2" fillId="5" borderId="0" xfId="3" applyFont="1" applyFill="1" applyAlignment="1" applyProtection="1">
      <alignment horizontal="center" vertical="center"/>
      <protection locked="0"/>
    </xf>
    <xf numFmtId="0" fontId="2" fillId="5" borderId="3" xfId="3" applyFont="1" applyFill="1" applyBorder="1" applyAlignment="1" applyProtection="1">
      <alignment horizontal="center"/>
      <protection locked="0"/>
    </xf>
    <xf numFmtId="44" fontId="2" fillId="6" borderId="0" xfId="1" applyFont="1" applyFill="1" applyBorder="1" applyAlignment="1" applyProtection="1">
      <alignment horizontal="center"/>
      <protection locked="0"/>
    </xf>
    <xf numFmtId="44" fontId="10" fillId="6" borderId="0" xfId="1" applyFont="1" applyFill="1" applyBorder="1" applyAlignment="1" applyProtection="1">
      <alignment horizontal="center"/>
      <protection locked="0"/>
    </xf>
    <xf numFmtId="9" fontId="2" fillId="6" borderId="3" xfId="2" applyFont="1" applyFill="1" applyBorder="1" applyAlignment="1" applyProtection="1">
      <alignment horizontal="center"/>
      <protection locked="0"/>
    </xf>
    <xf numFmtId="44" fontId="2" fillId="7" borderId="0" xfId="1" applyFont="1" applyFill="1" applyBorder="1" applyAlignment="1" applyProtection="1">
      <alignment horizontal="center" vertical="center"/>
      <protection locked="0"/>
    </xf>
    <xf numFmtId="164" fontId="10" fillId="7" borderId="0" xfId="2" applyNumberFormat="1" applyFont="1" applyFill="1" applyBorder="1" applyAlignment="1" applyProtection="1">
      <alignment horizontal="center" vertical="center"/>
      <protection locked="0"/>
    </xf>
    <xf numFmtId="164" fontId="10" fillId="7" borderId="8" xfId="2" applyNumberFormat="1" applyFont="1" applyFill="1" applyBorder="1" applyAlignment="1" applyProtection="1">
      <alignment horizontal="center" vertical="center"/>
      <protection locked="0"/>
    </xf>
    <xf numFmtId="165" fontId="10" fillId="7" borderId="0" xfId="2" applyNumberFormat="1" applyFont="1" applyFill="1" applyBorder="1" applyAlignment="1" applyProtection="1">
      <alignment horizontal="center" vertical="center"/>
      <protection locked="0"/>
    </xf>
    <xf numFmtId="9" fontId="2" fillId="7" borderId="3" xfId="2" applyFont="1" applyFill="1" applyBorder="1" applyAlignment="1" applyProtection="1">
      <alignment horizontal="center" vertical="center"/>
      <protection locked="0"/>
    </xf>
    <xf numFmtId="44" fontId="11" fillId="6" borderId="0" xfId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ont="1" applyAlignment="1" applyProtection="1">
      <alignment horizontal="center" vertical="center"/>
      <protection locked="0"/>
    </xf>
    <xf numFmtId="164" fontId="10" fillId="6" borderId="0" xfId="3" applyNumberFormat="1" applyFont="1" applyFill="1" applyAlignment="1" applyProtection="1">
      <alignment horizontal="center" vertical="center"/>
      <protection locked="0"/>
    </xf>
    <xf numFmtId="164" fontId="2" fillId="6" borderId="0" xfId="3" applyNumberFormat="1" applyFont="1" applyFill="1" applyAlignment="1" applyProtection="1">
      <alignment horizontal="right" vertical="center"/>
      <protection locked="0"/>
    </xf>
    <xf numFmtId="165" fontId="2" fillId="6" borderId="3" xfId="2" applyNumberFormat="1" applyFont="1" applyFill="1" applyBorder="1" applyAlignment="1" applyProtection="1">
      <alignment horizontal="center" vertical="center"/>
      <protection locked="0"/>
    </xf>
    <xf numFmtId="9" fontId="2" fillId="7" borderId="0" xfId="2" applyFont="1" applyFill="1" applyBorder="1" applyAlignment="1" applyProtection="1">
      <alignment horizontal="center" vertical="center"/>
      <protection locked="0"/>
    </xf>
    <xf numFmtId="44" fontId="2" fillId="7" borderId="3" xfId="3" applyNumberFormat="1" applyFont="1" applyFill="1" applyBorder="1" applyProtection="1">
      <protection locked="0"/>
    </xf>
    <xf numFmtId="9" fontId="2" fillId="7" borderId="3" xfId="2" applyFont="1" applyFill="1" applyBorder="1" applyProtection="1">
      <protection locked="0"/>
    </xf>
    <xf numFmtId="0" fontId="14" fillId="3" borderId="0" xfId="3" applyFont="1" applyFill="1" applyProtection="1">
      <protection locked="0"/>
    </xf>
    <xf numFmtId="165" fontId="14" fillId="0" borderId="0" xfId="3" applyNumberFormat="1" applyFont="1" applyProtection="1">
      <protection locked="0"/>
    </xf>
    <xf numFmtId="0" fontId="14" fillId="5" borderId="11" xfId="3" applyFont="1" applyFill="1" applyBorder="1" applyAlignment="1" applyProtection="1">
      <alignment horizontal="center" vertical="center"/>
      <protection locked="0"/>
    </xf>
    <xf numFmtId="0" fontId="14" fillId="5" borderId="0" xfId="3" applyFont="1" applyFill="1" applyAlignment="1" applyProtection="1">
      <alignment horizontal="center" vertical="center"/>
      <protection locked="0"/>
    </xf>
    <xf numFmtId="0" fontId="14" fillId="5" borderId="3" xfId="3" applyFont="1" applyFill="1" applyBorder="1" applyAlignment="1" applyProtection="1">
      <alignment horizontal="center"/>
      <protection locked="0"/>
    </xf>
    <xf numFmtId="44" fontId="14" fillId="6" borderId="0" xfId="1" applyFont="1" applyFill="1" applyBorder="1" applyAlignment="1" applyProtection="1">
      <alignment horizontal="center"/>
      <protection locked="0"/>
    </xf>
    <xf numFmtId="9" fontId="14" fillId="6" borderId="3" xfId="2" applyFont="1" applyFill="1" applyBorder="1" applyAlignment="1" applyProtection="1">
      <alignment horizontal="center"/>
      <protection locked="0"/>
    </xf>
    <xf numFmtId="44" fontId="14" fillId="7" borderId="0" xfId="1" applyFont="1" applyFill="1" applyBorder="1" applyAlignment="1" applyProtection="1">
      <alignment horizontal="center" vertical="center"/>
      <protection locked="0"/>
    </xf>
    <xf numFmtId="164" fontId="14" fillId="7" borderId="0" xfId="2" applyNumberFormat="1" applyFont="1" applyFill="1" applyBorder="1" applyAlignment="1" applyProtection="1">
      <alignment horizontal="center" vertical="center"/>
      <protection locked="0"/>
    </xf>
    <xf numFmtId="164" fontId="14" fillId="7" borderId="8" xfId="2" applyNumberFormat="1" applyFont="1" applyFill="1" applyBorder="1" applyAlignment="1" applyProtection="1">
      <alignment horizontal="center" vertical="center"/>
      <protection locked="0"/>
    </xf>
    <xf numFmtId="165" fontId="14" fillId="7" borderId="0" xfId="2" applyNumberFormat="1" applyFont="1" applyFill="1" applyBorder="1" applyAlignment="1" applyProtection="1">
      <alignment horizontal="center" vertical="center"/>
      <protection locked="0"/>
    </xf>
    <xf numFmtId="9" fontId="14" fillId="7" borderId="3" xfId="2" applyFont="1" applyFill="1" applyBorder="1" applyAlignment="1" applyProtection="1">
      <alignment horizontal="center" vertical="center"/>
      <protection locked="0"/>
    </xf>
    <xf numFmtId="44" fontId="14" fillId="6" borderId="0" xfId="1" applyFont="1" applyFill="1" applyBorder="1" applyAlignment="1" applyProtection="1">
      <alignment horizontal="center" vertical="center"/>
      <protection locked="0"/>
    </xf>
    <xf numFmtId="164" fontId="14" fillId="0" borderId="0" xfId="3" applyNumberFormat="1" applyFont="1" applyAlignment="1" applyProtection="1">
      <alignment horizontal="center" vertical="center"/>
      <protection locked="0"/>
    </xf>
    <xf numFmtId="164" fontId="14" fillId="6" borderId="0" xfId="3" applyNumberFormat="1" applyFont="1" applyFill="1" applyAlignment="1" applyProtection="1">
      <alignment horizontal="center" vertical="center"/>
      <protection locked="0"/>
    </xf>
    <xf numFmtId="164" fontId="14" fillId="6" borderId="0" xfId="3" applyNumberFormat="1" applyFont="1" applyFill="1" applyAlignment="1" applyProtection="1">
      <alignment horizontal="right" vertical="center"/>
      <protection locked="0"/>
    </xf>
    <xf numFmtId="165" fontId="14" fillId="6" borderId="3" xfId="2" applyNumberFormat="1" applyFont="1" applyFill="1" applyBorder="1" applyAlignment="1" applyProtection="1">
      <alignment horizontal="center" vertical="center"/>
      <protection locked="0"/>
    </xf>
    <xf numFmtId="9" fontId="14" fillId="7" borderId="0" xfId="2" applyFont="1" applyFill="1" applyBorder="1" applyAlignment="1" applyProtection="1">
      <alignment horizontal="center" vertical="center"/>
      <protection locked="0"/>
    </xf>
    <xf numFmtId="44" fontId="14" fillId="7" borderId="3" xfId="3" applyNumberFormat="1" applyFont="1" applyFill="1" applyBorder="1" applyProtection="1">
      <protection locked="0"/>
    </xf>
    <xf numFmtId="9" fontId="14" fillId="7" borderId="3" xfId="2" applyFont="1" applyFill="1" applyBorder="1" applyProtection="1">
      <protection locked="0"/>
    </xf>
    <xf numFmtId="0" fontId="14" fillId="3" borderId="8" xfId="3" applyFont="1" applyFill="1" applyBorder="1" applyProtection="1">
      <protection locked="0"/>
    </xf>
    <xf numFmtId="165" fontId="14" fillId="0" borderId="8" xfId="3" applyNumberFormat="1" applyFont="1" applyBorder="1" applyProtection="1">
      <protection locked="0"/>
    </xf>
    <xf numFmtId="0" fontId="14" fillId="5" borderId="9" xfId="3" applyFont="1" applyFill="1" applyBorder="1" applyAlignment="1" applyProtection="1">
      <alignment horizontal="center" vertical="center"/>
      <protection locked="0"/>
    </xf>
    <xf numFmtId="0" fontId="14" fillId="5" borderId="8" xfId="3" applyFont="1" applyFill="1" applyBorder="1" applyAlignment="1" applyProtection="1">
      <alignment horizontal="center" vertical="center"/>
      <protection locked="0"/>
    </xf>
    <xf numFmtId="0" fontId="14" fillId="5" borderId="10" xfId="3" applyFont="1" applyFill="1" applyBorder="1" applyAlignment="1" applyProtection="1">
      <alignment horizontal="center"/>
      <protection locked="0"/>
    </xf>
    <xf numFmtId="44" fontId="14" fillId="6" borderId="9" xfId="1" applyFont="1" applyFill="1" applyBorder="1" applyAlignment="1" applyProtection="1">
      <alignment horizontal="center"/>
      <protection locked="0"/>
    </xf>
    <xf numFmtId="44" fontId="14" fillId="6" borderId="8" xfId="1" applyFont="1" applyFill="1" applyBorder="1" applyAlignment="1" applyProtection="1">
      <alignment horizontal="center"/>
      <protection locked="0"/>
    </xf>
    <xf numFmtId="9" fontId="14" fillId="6" borderId="10" xfId="2" applyFont="1" applyFill="1" applyBorder="1" applyAlignment="1" applyProtection="1">
      <alignment horizontal="center"/>
      <protection locked="0"/>
    </xf>
    <xf numFmtId="44" fontId="14" fillId="7" borderId="8" xfId="1" applyFont="1" applyFill="1" applyBorder="1" applyAlignment="1" applyProtection="1">
      <alignment horizontal="center" vertical="center"/>
      <protection locked="0"/>
    </xf>
    <xf numFmtId="165" fontId="14" fillId="7" borderId="8" xfId="2" applyNumberFormat="1" applyFont="1" applyFill="1" applyBorder="1" applyAlignment="1" applyProtection="1">
      <alignment horizontal="center" vertical="center"/>
      <protection locked="0"/>
    </xf>
    <xf numFmtId="9" fontId="14" fillId="7" borderId="10" xfId="2" applyFont="1" applyFill="1" applyBorder="1" applyAlignment="1" applyProtection="1">
      <alignment horizontal="center" vertical="center"/>
      <protection locked="0"/>
    </xf>
    <xf numFmtId="44" fontId="14" fillId="6" borderId="8" xfId="1" applyFont="1" applyFill="1" applyBorder="1" applyAlignment="1" applyProtection="1">
      <alignment horizontal="center" vertical="center"/>
      <protection locked="0"/>
    </xf>
    <xf numFmtId="164" fontId="14" fillId="0" borderId="8" xfId="3" applyNumberFormat="1" applyFont="1" applyBorder="1" applyAlignment="1" applyProtection="1">
      <alignment horizontal="center" vertical="center"/>
      <protection locked="0"/>
    </xf>
    <xf numFmtId="164" fontId="14" fillId="6" borderId="8" xfId="3" applyNumberFormat="1" applyFont="1" applyFill="1" applyBorder="1" applyAlignment="1" applyProtection="1">
      <alignment horizontal="center" vertical="center"/>
      <protection locked="0"/>
    </xf>
    <xf numFmtId="164" fontId="14" fillId="6" borderId="8" xfId="3" applyNumberFormat="1" applyFont="1" applyFill="1" applyBorder="1" applyAlignment="1" applyProtection="1">
      <alignment horizontal="right" vertical="center"/>
      <protection locked="0"/>
    </xf>
    <xf numFmtId="165" fontId="14" fillId="6" borderId="10" xfId="2" applyNumberFormat="1" applyFont="1" applyFill="1" applyBorder="1" applyAlignment="1" applyProtection="1">
      <alignment horizontal="center" vertical="center"/>
      <protection locked="0"/>
    </xf>
    <xf numFmtId="9" fontId="14" fillId="7" borderId="8" xfId="2" applyFont="1" applyFill="1" applyBorder="1" applyAlignment="1" applyProtection="1">
      <alignment horizontal="center" vertical="center"/>
      <protection locked="0"/>
    </xf>
    <xf numFmtId="44" fontId="14" fillId="7" borderId="10" xfId="3" applyNumberFormat="1" applyFont="1" applyFill="1" applyBorder="1" applyProtection="1">
      <protection locked="0"/>
    </xf>
    <xf numFmtId="9" fontId="14" fillId="7" borderId="10" xfId="2" applyFont="1" applyFill="1" applyBorder="1" applyProtection="1">
      <protection locked="0"/>
    </xf>
    <xf numFmtId="0" fontId="14" fillId="5" borderId="12" xfId="3" applyFont="1" applyFill="1" applyBorder="1" applyAlignment="1" applyProtection="1">
      <alignment horizontal="center" vertical="center"/>
      <protection locked="0"/>
    </xf>
    <xf numFmtId="0" fontId="14" fillId="5" borderId="13" xfId="3" applyFont="1" applyFill="1" applyBorder="1" applyAlignment="1" applyProtection="1">
      <alignment horizontal="center" vertical="center"/>
      <protection locked="0"/>
    </xf>
    <xf numFmtId="0" fontId="14" fillId="5" borderId="14" xfId="3" applyFont="1" applyFill="1" applyBorder="1" applyAlignment="1" applyProtection="1">
      <alignment horizontal="center"/>
      <protection locked="0"/>
    </xf>
    <xf numFmtId="44" fontId="14" fillId="6" borderId="13" xfId="1" applyFont="1" applyFill="1" applyBorder="1" applyAlignment="1" applyProtection="1">
      <alignment horizontal="center"/>
      <protection locked="0"/>
    </xf>
    <xf numFmtId="9" fontId="14" fillId="6" borderId="14" xfId="2" applyFont="1" applyFill="1" applyBorder="1" applyAlignment="1" applyProtection="1">
      <alignment horizontal="center"/>
      <protection locked="0"/>
    </xf>
    <xf numFmtId="44" fontId="14" fillId="7" borderId="13" xfId="1" applyFont="1" applyFill="1" applyBorder="1" applyAlignment="1" applyProtection="1">
      <alignment horizontal="center" vertical="center"/>
      <protection locked="0"/>
    </xf>
    <xf numFmtId="164" fontId="14" fillId="7" borderId="13" xfId="2" applyNumberFormat="1" applyFont="1" applyFill="1" applyBorder="1" applyAlignment="1" applyProtection="1">
      <alignment horizontal="center" vertical="center"/>
      <protection locked="0"/>
    </xf>
    <xf numFmtId="165" fontId="14" fillId="7" borderId="13" xfId="2" applyNumberFormat="1" applyFont="1" applyFill="1" applyBorder="1" applyAlignment="1" applyProtection="1">
      <alignment horizontal="center" vertical="center"/>
      <protection locked="0"/>
    </xf>
    <xf numFmtId="9" fontId="14" fillId="7" borderId="14" xfId="2" applyFont="1" applyFill="1" applyBorder="1" applyAlignment="1" applyProtection="1">
      <alignment horizontal="center" vertical="center"/>
      <protection locked="0"/>
    </xf>
    <xf numFmtId="44" fontId="14" fillId="6" borderId="13" xfId="1" applyFont="1" applyFill="1" applyBorder="1" applyAlignment="1" applyProtection="1">
      <alignment horizontal="center" vertical="center"/>
      <protection locked="0"/>
    </xf>
    <xf numFmtId="164" fontId="14" fillId="0" borderId="13" xfId="3" applyNumberFormat="1" applyFont="1" applyBorder="1" applyAlignment="1" applyProtection="1">
      <alignment horizontal="center" vertical="center"/>
      <protection locked="0"/>
    </xf>
    <xf numFmtId="164" fontId="14" fillId="6" borderId="13" xfId="3" applyNumberFormat="1" applyFont="1" applyFill="1" applyBorder="1" applyAlignment="1" applyProtection="1">
      <alignment horizontal="center" vertical="center"/>
      <protection locked="0"/>
    </xf>
    <xf numFmtId="164" fontId="14" fillId="6" borderId="13" xfId="3" applyNumberFormat="1" applyFont="1" applyFill="1" applyBorder="1" applyAlignment="1" applyProtection="1">
      <alignment horizontal="right" vertical="center"/>
      <protection locked="0"/>
    </xf>
    <xf numFmtId="165" fontId="14" fillId="6" borderId="14" xfId="2" applyNumberFormat="1" applyFont="1" applyFill="1" applyBorder="1" applyAlignment="1" applyProtection="1">
      <alignment horizontal="center" vertical="center"/>
      <protection locked="0"/>
    </xf>
    <xf numFmtId="9" fontId="14" fillId="7" borderId="13" xfId="2" applyFont="1" applyFill="1" applyBorder="1" applyAlignment="1" applyProtection="1">
      <alignment horizontal="center" vertical="center"/>
      <protection locked="0"/>
    </xf>
    <xf numFmtId="44" fontId="14" fillId="7" borderId="14" xfId="3" applyNumberFormat="1" applyFont="1" applyFill="1" applyBorder="1" applyProtection="1">
      <protection locked="0"/>
    </xf>
    <xf numFmtId="9" fontId="14" fillId="7" borderId="14" xfId="2" applyFont="1" applyFill="1" applyBorder="1" applyProtection="1">
      <protection locked="0"/>
    </xf>
    <xf numFmtId="164" fontId="5" fillId="2" borderId="0" xfId="0" applyNumberFormat="1" applyFont="1" applyFill="1"/>
    <xf numFmtId="44" fontId="5" fillId="2" borderId="0" xfId="0" applyNumberFormat="1" applyFont="1" applyFill="1"/>
    <xf numFmtId="0" fontId="5" fillId="2" borderId="0" xfId="0" applyFont="1" applyFill="1"/>
    <xf numFmtId="0" fontId="15" fillId="7" borderId="0" xfId="0" applyFont="1" applyFill="1" applyAlignment="1">
      <alignment horizontal="left"/>
    </xf>
    <xf numFmtId="44" fontId="15" fillId="7" borderId="0" xfId="0" applyNumberFormat="1" applyFont="1" applyFill="1"/>
    <xf numFmtId="0" fontId="0" fillId="7" borderId="0" xfId="0" applyFill="1"/>
    <xf numFmtId="44" fontId="0" fillId="7" borderId="0" xfId="1" applyFont="1" applyFill="1" applyBorder="1"/>
    <xf numFmtId="0" fontId="15" fillId="7" borderId="1" xfId="0" applyFont="1" applyFill="1" applyBorder="1" applyAlignment="1">
      <alignment horizontal="left"/>
    </xf>
    <xf numFmtId="44" fontId="15" fillId="7" borderId="1" xfId="0" applyNumberFormat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15" fillId="0" borderId="0" xfId="0" applyFont="1" applyAlignment="1">
      <alignment horizontal="left"/>
    </xf>
    <xf numFmtId="44" fontId="15" fillId="0" borderId="0" xfId="0" applyNumberFormat="1" applyFont="1"/>
    <xf numFmtId="44" fontId="0" fillId="0" borderId="0" xfId="1" applyFont="1" applyFill="1" applyBorder="1"/>
    <xf numFmtId="0" fontId="16" fillId="8" borderId="0" xfId="0" applyFont="1" applyFill="1" applyAlignment="1">
      <alignment horizontal="left"/>
    </xf>
    <xf numFmtId="6" fontId="16" fillId="8" borderId="0" xfId="0" applyNumberFormat="1" applyFont="1" applyFill="1"/>
    <xf numFmtId="0" fontId="17" fillId="9" borderId="0" xfId="0" applyFont="1" applyFill="1" applyAlignment="1">
      <alignment horizontal="left"/>
    </xf>
    <xf numFmtId="6" fontId="17" fillId="9" borderId="0" xfId="0" applyNumberFormat="1" applyFont="1" applyFill="1"/>
    <xf numFmtId="0" fontId="0" fillId="10" borderId="15" xfId="0" applyFill="1" applyBorder="1" applyAlignment="1">
      <alignment horizontal="left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44" fontId="18" fillId="0" borderId="0" xfId="1" applyFont="1" applyBorder="1" applyAlignment="1">
      <alignment horizontal="center"/>
    </xf>
    <xf numFmtId="0" fontId="0" fillId="10" borderId="16" xfId="0" applyFill="1" applyBorder="1" applyAlignment="1">
      <alignment horizontal="left"/>
    </xf>
    <xf numFmtId="44" fontId="0" fillId="6" borderId="0" xfId="1" applyFont="1" applyFill="1" applyBorder="1" applyAlignment="1">
      <alignment horizontal="center"/>
    </xf>
    <xf numFmtId="9" fontId="0" fillId="6" borderId="3" xfId="4" applyFont="1" applyFill="1" applyBorder="1" applyAlignment="1">
      <alignment horizontal="center"/>
    </xf>
    <xf numFmtId="44" fontId="0" fillId="5" borderId="0" xfId="5" applyFont="1" applyFill="1" applyBorder="1" applyAlignment="1">
      <alignment horizontal="center"/>
    </xf>
    <xf numFmtId="9" fontId="0" fillId="5" borderId="3" xfId="4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/>
    <xf numFmtId="44" fontId="0" fillId="0" borderId="0" xfId="1" applyFont="1" applyBorder="1" applyAlignment="1">
      <alignment horizontal="left"/>
    </xf>
    <xf numFmtId="0" fontId="0" fillId="10" borderId="17" xfId="0" applyFill="1" applyBorder="1" applyAlignment="1">
      <alignment horizontal="left"/>
    </xf>
    <xf numFmtId="44" fontId="0" fillId="6" borderId="18" xfId="1" applyFont="1" applyFill="1" applyBorder="1" applyAlignment="1">
      <alignment horizontal="center"/>
    </xf>
    <xf numFmtId="44" fontId="0" fillId="6" borderId="19" xfId="1" applyFont="1" applyFill="1" applyBorder="1" applyAlignment="1">
      <alignment horizontal="center"/>
    </xf>
    <xf numFmtId="9" fontId="0" fillId="6" borderId="20" xfId="4" applyFont="1" applyFill="1" applyBorder="1" applyAlignment="1">
      <alignment horizontal="center"/>
    </xf>
    <xf numFmtId="44" fontId="0" fillId="5" borderId="18" xfId="5" applyFont="1" applyFill="1" applyBorder="1" applyAlignment="1">
      <alignment horizontal="center"/>
    </xf>
    <xf numFmtId="44" fontId="0" fillId="5" borderId="19" xfId="5" applyFont="1" applyFill="1" applyBorder="1" applyAlignment="1">
      <alignment horizontal="center"/>
    </xf>
    <xf numFmtId="9" fontId="0" fillId="5" borderId="20" xfId="4" applyFont="1" applyFill="1" applyBorder="1" applyAlignment="1">
      <alignment horizontal="center"/>
    </xf>
    <xf numFmtId="0" fontId="0" fillId="10" borderId="21" xfId="0" applyFill="1" applyBorder="1" applyAlignment="1">
      <alignment horizontal="left"/>
    </xf>
    <xf numFmtId="44" fontId="0" fillId="6" borderId="13" xfId="0" applyNumberFormat="1" applyFill="1" applyBorder="1" applyAlignment="1">
      <alignment horizontal="center"/>
    </xf>
    <xf numFmtId="9" fontId="0" fillId="6" borderId="22" xfId="4" applyFon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9" fontId="0" fillId="5" borderId="14" xfId="4" applyFont="1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center"/>
    </xf>
    <xf numFmtId="9" fontId="0" fillId="0" borderId="0" xfId="4" applyFont="1" applyFill="1" applyBorder="1" applyAlignment="1">
      <alignment horizontal="center"/>
    </xf>
    <xf numFmtId="44" fontId="0" fillId="0" borderId="0" xfId="0" applyNumberFormat="1"/>
    <xf numFmtId="44" fontId="3" fillId="4" borderId="23" xfId="1" applyFont="1" applyFill="1" applyBorder="1" applyAlignment="1" applyProtection="1">
      <alignment horizontal="center" vertical="center"/>
      <protection locked="0"/>
    </xf>
    <xf numFmtId="165" fontId="3" fillId="4" borderId="2" xfId="3" applyNumberFormat="1" applyFont="1" applyFill="1" applyBorder="1" applyAlignment="1" applyProtection="1">
      <alignment horizontal="center" vertical="center"/>
      <protection locked="0"/>
    </xf>
    <xf numFmtId="165" fontId="3" fillId="4" borderId="3" xfId="3" applyNumberFormat="1" applyFont="1" applyFill="1" applyBorder="1" applyAlignment="1" applyProtection="1">
      <alignment horizontal="center" vertical="center"/>
      <protection locked="0"/>
    </xf>
    <xf numFmtId="44" fontId="3" fillId="4" borderId="2" xfId="3" applyNumberFormat="1" applyFont="1" applyFill="1" applyBorder="1" applyAlignment="1" applyProtection="1">
      <alignment horizontal="center" vertical="center"/>
      <protection locked="0"/>
    </xf>
    <xf numFmtId="44" fontId="3" fillId="4" borderId="3" xfId="1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Alignment="1" applyProtection="1">
      <alignment horizontal="left" vertical="center"/>
      <protection locked="0"/>
    </xf>
    <xf numFmtId="44" fontId="3" fillId="0" borderId="0" xfId="1" applyFont="1" applyFill="1" applyAlignment="1" applyProtection="1">
      <alignment horizontal="center" vertical="center"/>
      <protection locked="0"/>
    </xf>
  </cellXfs>
  <cellStyles count="6">
    <cellStyle name="Prozent" xfId="2" builtinId="5"/>
    <cellStyle name="Prozent 2 2" xfId="4" xr:uid="{3B6B527A-ED21-465F-B227-ADD05CED7C76}"/>
    <cellStyle name="Standard" xfId="0" builtinId="0"/>
    <cellStyle name="Standard 3" xfId="3" xr:uid="{7D2EADC5-6D77-4E37-94DE-E795D629D69E}"/>
    <cellStyle name="Währung" xfId="1" builtinId="4"/>
    <cellStyle name="Währung 3" xfId="5" xr:uid="{831F810F-D25A-49A5-B87C-E8B5343FC965}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Vermögensentwicklung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Investiert (kum)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Vermögensaufbau!$E$6:$E$31</c:f>
              <c:numCache>
                <c:formatCode>General</c:formatCode>
                <c:ptCount val="2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</c:numCache>
            </c:numRef>
          </c:cat>
          <c:val>
            <c:numRef>
              <c:f>Vermögensaufbau!$P$6:$P$26</c:f>
              <c:numCache>
                <c:formatCode>_-* #,##0.00\ [$€-407]_-;\-* #,##0.00\ [$€-407]_-;_-* "-"??\ [$€-407]_-;_-@_-</c:formatCode>
                <c:ptCount val="21"/>
                <c:pt idx="0">
                  <c:v>31475</c:v>
                </c:pt>
                <c:pt idx="1">
                  <c:v>51475</c:v>
                </c:pt>
                <c:pt idx="2">
                  <c:v>71475</c:v>
                </c:pt>
                <c:pt idx="3">
                  <c:v>91475</c:v>
                </c:pt>
                <c:pt idx="4">
                  <c:v>111475</c:v>
                </c:pt>
                <c:pt idx="5">
                  <c:v>131475</c:v>
                </c:pt>
                <c:pt idx="6">
                  <c:v>151475</c:v>
                </c:pt>
                <c:pt idx="7">
                  <c:v>171475</c:v>
                </c:pt>
                <c:pt idx="8">
                  <c:v>191475</c:v>
                </c:pt>
                <c:pt idx="9">
                  <c:v>211475</c:v>
                </c:pt>
                <c:pt idx="10">
                  <c:v>231475</c:v>
                </c:pt>
                <c:pt idx="11">
                  <c:v>251475</c:v>
                </c:pt>
                <c:pt idx="12">
                  <c:v>271475</c:v>
                </c:pt>
                <c:pt idx="13">
                  <c:v>291475</c:v>
                </c:pt>
                <c:pt idx="14">
                  <c:v>311475</c:v>
                </c:pt>
                <c:pt idx="15">
                  <c:v>331475</c:v>
                </c:pt>
                <c:pt idx="16">
                  <c:v>351475</c:v>
                </c:pt>
                <c:pt idx="17">
                  <c:v>371475</c:v>
                </c:pt>
                <c:pt idx="18">
                  <c:v>391475</c:v>
                </c:pt>
                <c:pt idx="19">
                  <c:v>411475</c:v>
                </c:pt>
                <c:pt idx="20">
                  <c:v>431475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B-43AB-A7F8-30837C2502ED}"/>
            </c:ext>
          </c:extLst>
        </c:ser>
        <c:ser>
          <c:idx val="1"/>
          <c:order val="1"/>
          <c:tx>
            <c:v>Gewinn (Kum)</c:v>
          </c:tx>
          <c:spPr>
            <a:solidFill>
              <a:srgbClr val="002060"/>
            </a:solidFill>
            <a:ln>
              <a:noFill/>
            </a:ln>
            <a:effectLst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  <c:invertIfNegative val="0"/>
          <c:cat>
            <c:numRef>
              <c:f>Vermögensaufbau!$E$6:$E$31</c:f>
              <c:numCache>
                <c:formatCode>General</c:formatCode>
                <c:ptCount val="2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</c:numCache>
            </c:numRef>
          </c:cat>
          <c:val>
            <c:numRef>
              <c:f>Vermögensaufbau!$L$6:$L$26</c:f>
              <c:numCache>
                <c:formatCode>_-* #,##0.00\ [$€-407]_-;\-* #,##0.00\ [$€-407]_-;_-* "-"??\ [$€-407]_-;_-@_-</c:formatCode>
                <c:ptCount val="21"/>
                <c:pt idx="0">
                  <c:v>1094.6000000000001</c:v>
                </c:pt>
                <c:pt idx="1">
                  <c:v>4351.5889999999999</c:v>
                </c:pt>
                <c:pt idx="2">
                  <c:v>9934.2769000000008</c:v>
                </c:pt>
                <c:pt idx="3">
                  <c:v>19075.233590000003</c:v>
                </c:pt>
                <c:pt idx="4">
                  <c:v>31130.285949000005</c:v>
                </c:pt>
                <c:pt idx="5">
                  <c:v>46390.84354390001</c:v>
                </c:pt>
                <c:pt idx="6">
                  <c:v>65177.456898290009</c:v>
                </c:pt>
                <c:pt idx="7">
                  <c:v>87842.731588119015</c:v>
                </c:pt>
                <c:pt idx="8">
                  <c:v>114774.53374693092</c:v>
                </c:pt>
                <c:pt idx="9">
                  <c:v>146399.51612162401</c:v>
                </c:pt>
                <c:pt idx="10">
                  <c:v>183186.99673378642</c:v>
                </c:pt>
                <c:pt idx="11">
                  <c:v>225653.22540716507</c:v>
                </c:pt>
                <c:pt idx="12">
                  <c:v>274366.07694788155</c:v>
                </c:pt>
                <c:pt idx="13">
                  <c:v>329950.21364266973</c:v>
                </c:pt>
                <c:pt idx="14">
                  <c:v>393092.76400693669</c:v>
                </c:pt>
                <c:pt idx="15">
                  <c:v>464549.56940763036</c:v>
                </c:pt>
                <c:pt idx="16">
                  <c:v>545152.05534839339</c:v>
                </c:pt>
                <c:pt idx="17">
                  <c:v>635814.78988323268</c:v>
                </c:pt>
                <c:pt idx="18">
                  <c:v>737543.7978715559</c:v>
                </c:pt>
                <c:pt idx="19">
                  <c:v>851445.70665871154</c:v>
                </c:pt>
                <c:pt idx="20">
                  <c:v>978737.80632458266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B-43AB-A7F8-30837C2502ED}"/>
            </c:ext>
          </c:extLst>
        </c:ser>
        <c:ser>
          <c:idx val="2"/>
          <c:order val="2"/>
          <c:tx>
            <c:v>Gesamt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Vermögensaufbau!$E$6:$E$31</c:f>
              <c:numCache>
                <c:formatCode>General</c:formatCode>
                <c:ptCount val="2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</c:numCache>
            </c:numRef>
          </c:cat>
          <c:val>
            <c:numRef>
              <c:f>Vermögensaufbau!$R$6:$R$26</c:f>
              <c:numCache>
                <c:formatCode>_-* #,##0.00\ [$€-407]_-;\-* #,##0.00\ [$€-407]_-;_-* "-"??\ [$€-407]_-;_-@_-</c:formatCode>
                <c:ptCount val="21"/>
                <c:pt idx="0">
                  <c:v>1</c:v>
                </c:pt>
                <c:pt idx="1">
                  <c:v>21001.1</c:v>
                </c:pt>
                <c:pt idx="2">
                  <c:v>44101.21</c:v>
                </c:pt>
                <c:pt idx="3">
                  <c:v>69511.331000000006</c:v>
                </c:pt>
                <c:pt idx="4">
                  <c:v>97462.464100000012</c:v>
                </c:pt>
                <c:pt idx="5">
                  <c:v>128208.71051000002</c:v>
                </c:pt>
                <c:pt idx="6">
                  <c:v>162029.581561</c:v>
                </c:pt>
                <c:pt idx="7">
                  <c:v>199232.53971710001</c:v>
                </c:pt>
                <c:pt idx="8">
                  <c:v>240155.79368881002</c:v>
                </c:pt>
                <c:pt idx="9">
                  <c:v>285171.37305769103</c:v>
                </c:pt>
                <c:pt idx="10">
                  <c:v>334688.51036346011</c:v>
                </c:pt>
                <c:pt idx="11">
                  <c:v>389157.3613998061</c:v>
                </c:pt>
                <c:pt idx="12">
                  <c:v>449073.09753978672</c:v>
                </c:pt>
                <c:pt idx="13">
                  <c:v>514980.4072937654</c:v>
                </c:pt>
                <c:pt idx="14">
                  <c:v>587478.44802314183</c:v>
                </c:pt>
                <c:pt idx="15">
                  <c:v>667226.29282545601</c:v>
                </c:pt>
                <c:pt idx="16">
                  <c:v>754948.92210800166</c:v>
                </c:pt>
                <c:pt idx="17">
                  <c:v>851443.81431880186</c:v>
                </c:pt>
                <c:pt idx="18">
                  <c:v>957588.19575068203</c:v>
                </c:pt>
                <c:pt idx="19">
                  <c:v>1074347.0153257502</c:v>
                </c:pt>
                <c:pt idx="20">
                  <c:v>1202781.7168583253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B-43AB-A7F8-30837C25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4290592"/>
        <c:axId val="454286328"/>
      </c:barChart>
      <c:catAx>
        <c:axId val="4542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86328"/>
        <c:crosses val="autoZero"/>
        <c:auto val="1"/>
        <c:lblAlgn val="ctr"/>
        <c:lblOffset val="100"/>
        <c:noMultiLvlLbl val="0"/>
      </c:catAx>
      <c:valAx>
        <c:axId val="45428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€-407]_-;\-* #,##0.0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90592"/>
        <c:crosses val="autoZero"/>
        <c:crossBetween val="between"/>
      </c:valAx>
      <c:spPr>
        <a:noFill/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Vermögensentwicklung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Investiert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Vermögensaufbau!$E$6:$E$35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Vermögensaufbau!$H$6:$H$31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0-4BB3-9A8B-B9B5D1C7FC32}"/>
            </c:ext>
          </c:extLst>
        </c:ser>
        <c:ser>
          <c:idx val="1"/>
          <c:order val="1"/>
          <c:tx>
            <c:v>Gewinn</c:v>
          </c:tx>
          <c:spPr>
            <a:solidFill>
              <a:srgbClr val="002060"/>
            </a:solidFill>
            <a:ln>
              <a:noFill/>
            </a:ln>
            <a:effectLst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  <c:invertIfNegative val="0"/>
          <c:cat>
            <c:numRef>
              <c:f>Vermögensaufbau!$E$6:$E$35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Vermögensaufbau!$K$6:$K$31</c:f>
              <c:numCache>
                <c:formatCode>_-* #,##0.00\ [$€-407]_-;\-* #,##0.00\ [$€-407]_-;_-* "-"??\ [$€-407]_-;_-@_-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1-0310-4BB3-9A8B-B9B5D1C7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4290592"/>
        <c:axId val="454286328"/>
      </c:barChart>
      <c:catAx>
        <c:axId val="4542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86328"/>
        <c:crosses val="autoZero"/>
        <c:auto val="1"/>
        <c:lblAlgn val="ctr"/>
        <c:lblOffset val="100"/>
        <c:noMultiLvlLbl val="0"/>
      </c:catAx>
      <c:valAx>
        <c:axId val="45428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90592"/>
        <c:crosses val="autoZero"/>
        <c:crossBetween val="between"/>
      </c:valAx>
      <c:spPr>
        <a:noFill/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Vermögensentwicklung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Ist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Vermögensaufbau!$E$6:$E$35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Vermögensaufbau!$R$6:$R$31</c:f>
              <c:numCache>
                <c:formatCode>_-* #,##0.00\ [$€-407]_-;\-* #,##0.00\ [$€-407]_-;_-* "-"??\ [$€-407]_-;_-@_-</c:formatCode>
                <c:ptCount val="26"/>
                <c:pt idx="0">
                  <c:v>1</c:v>
                </c:pt>
                <c:pt idx="1">
                  <c:v>21001.1</c:v>
                </c:pt>
                <c:pt idx="2">
                  <c:v>44101.21</c:v>
                </c:pt>
                <c:pt idx="3">
                  <c:v>69511.331000000006</c:v>
                </c:pt>
                <c:pt idx="4">
                  <c:v>97462.464100000012</c:v>
                </c:pt>
                <c:pt idx="5">
                  <c:v>128208.71051000002</c:v>
                </c:pt>
                <c:pt idx="6">
                  <c:v>162029.581561</c:v>
                </c:pt>
                <c:pt idx="7">
                  <c:v>199232.53971710001</c:v>
                </c:pt>
                <c:pt idx="8">
                  <c:v>240155.79368881002</c:v>
                </c:pt>
                <c:pt idx="9">
                  <c:v>285171.37305769103</c:v>
                </c:pt>
                <c:pt idx="10">
                  <c:v>334688.51036346011</c:v>
                </c:pt>
                <c:pt idx="11">
                  <c:v>389157.3613998061</c:v>
                </c:pt>
                <c:pt idx="12">
                  <c:v>449073.09753978672</c:v>
                </c:pt>
                <c:pt idx="13">
                  <c:v>514980.4072937654</c:v>
                </c:pt>
                <c:pt idx="14">
                  <c:v>587478.44802314183</c:v>
                </c:pt>
                <c:pt idx="15">
                  <c:v>667226.29282545601</c:v>
                </c:pt>
                <c:pt idx="16">
                  <c:v>754948.92210800166</c:v>
                </c:pt>
                <c:pt idx="17">
                  <c:v>851443.81431880186</c:v>
                </c:pt>
                <c:pt idx="18">
                  <c:v>957588.19575068203</c:v>
                </c:pt>
                <c:pt idx="19">
                  <c:v>1074347.0153257502</c:v>
                </c:pt>
                <c:pt idx="20">
                  <c:v>1202781.7168583253</c:v>
                </c:pt>
                <c:pt idx="21">
                  <c:v>1344059.8885441578</c:v>
                </c:pt>
                <c:pt idx="22">
                  <c:v>1499465.8773985736</c:v>
                </c:pt>
                <c:pt idx="23">
                  <c:v>1670412.4651384309</c:v>
                </c:pt>
                <c:pt idx="24">
                  <c:v>1858453.711652274</c:v>
                </c:pt>
                <c:pt idx="25">
                  <c:v>2065299.0828175014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0-4512-BC62-C93152FC852E}"/>
            </c:ext>
          </c:extLst>
        </c:ser>
        <c:ser>
          <c:idx val="1"/>
          <c:order val="1"/>
          <c:tx>
            <c:v>Soll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Vermögensaufbau!$E$6:$E$35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Vermögensaufbau!$O$6:$O$31</c:f>
              <c:numCache>
                <c:formatCode>_("€"* #,##0.00_);_("€"* \(#,##0.00\);_("€"* "-"??_);_(@_)</c:formatCode>
                <c:ptCount val="26"/>
                <c:pt idx="0">
                  <c:v>32569.89</c:v>
                </c:pt>
                <c:pt idx="1">
                  <c:v>55826.879000000001</c:v>
                </c:pt>
                <c:pt idx="2">
                  <c:v>81409.566900000005</c:v>
                </c:pt>
                <c:pt idx="3">
                  <c:v>110550.52359000001</c:v>
                </c:pt>
                <c:pt idx="4">
                  <c:v>142605.57594900002</c:v>
                </c:pt>
                <c:pt idx="5">
                  <c:v>177866.13354390001</c:v>
                </c:pt>
                <c:pt idx="6">
                  <c:v>216652.74689829</c:v>
                </c:pt>
                <c:pt idx="7">
                  <c:v>259318.02158811901</c:v>
                </c:pt>
                <c:pt idx="8">
                  <c:v>306249.82374693087</c:v>
                </c:pt>
                <c:pt idx="9">
                  <c:v>357874.80612162396</c:v>
                </c:pt>
                <c:pt idx="10">
                  <c:v>414662.28673378634</c:v>
                </c:pt>
                <c:pt idx="11">
                  <c:v>477128.51540716499</c:v>
                </c:pt>
                <c:pt idx="12">
                  <c:v>545841.36694788153</c:v>
                </c:pt>
                <c:pt idx="13">
                  <c:v>621425.50364266965</c:v>
                </c:pt>
                <c:pt idx="14">
                  <c:v>704568.05400693661</c:v>
                </c:pt>
                <c:pt idx="15">
                  <c:v>796024.85940763028</c:v>
                </c:pt>
                <c:pt idx="16">
                  <c:v>896627.34534839331</c:v>
                </c:pt>
                <c:pt idx="17">
                  <c:v>1007290.0798832327</c:v>
                </c:pt>
                <c:pt idx="18">
                  <c:v>1129019.0878715559</c:v>
                </c:pt>
                <c:pt idx="19">
                  <c:v>1262920.9966587115</c:v>
                </c:pt>
                <c:pt idx="20">
                  <c:v>1410213.0963245826</c:v>
                </c:pt>
                <c:pt idx="21">
                  <c:v>1572234.4059570408</c:v>
                </c:pt>
                <c:pt idx="22">
                  <c:v>1750457.846552745</c:v>
                </c:pt>
                <c:pt idx="23">
                  <c:v>1946503.6312080196</c:v>
                </c:pt>
                <c:pt idx="24">
                  <c:v>2162153.9943288215</c:v>
                </c:pt>
                <c:pt idx="25">
                  <c:v>2399369.3937617037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0-4512-BC62-C93152FC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4290592"/>
        <c:axId val="454286328"/>
      </c:barChart>
      <c:catAx>
        <c:axId val="4542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86328"/>
        <c:crosses val="autoZero"/>
        <c:auto val="1"/>
        <c:lblAlgn val="ctr"/>
        <c:lblOffset val="100"/>
        <c:noMultiLvlLbl val="0"/>
      </c:catAx>
      <c:valAx>
        <c:axId val="45428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€-407]_-;\-* #,##0.0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290592"/>
        <c:crosses val="autoZero"/>
        <c:crossBetween val="between"/>
      </c:valAx>
      <c:spPr>
        <a:noFill/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11853</xdr:colOff>
      <xdr:row>36</xdr:row>
      <xdr:rowOff>10583</xdr:rowOff>
    </xdr:from>
    <xdr:to>
      <xdr:col>21</xdr:col>
      <xdr:colOff>262466</xdr:colOff>
      <xdr:row>58</xdr:row>
      <xdr:rowOff>186266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E29EDFE-20EC-49E7-A70C-737B41278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8466</xdr:colOff>
      <xdr:row>60</xdr:row>
      <xdr:rowOff>11855</xdr:rowOff>
    </xdr:from>
    <xdr:to>
      <xdr:col>21</xdr:col>
      <xdr:colOff>262464</xdr:colOff>
      <xdr:row>82</xdr:row>
      <xdr:rowOff>177801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73CA1C3-E9FF-4B4F-BD0A-B8487A256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119062</xdr:colOff>
      <xdr:row>84</xdr:row>
      <xdr:rowOff>39687</xdr:rowOff>
    </xdr:from>
    <xdr:to>
      <xdr:col>21</xdr:col>
      <xdr:colOff>258550</xdr:colOff>
      <xdr:row>107</xdr:row>
      <xdr:rowOff>16933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E606C33-E568-4A7A-83AF-F7113360D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nstiges/Gehaltsu&#776;bers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Aktuell"/>
      <sheetName val="Cashflow"/>
      <sheetName val="Feb 2022"/>
      <sheetName val="März 2022"/>
      <sheetName val="Mai 2022"/>
      <sheetName val="Okt 2022"/>
      <sheetName val="Vermögensaufbau"/>
      <sheetName val="Sparen 2021"/>
      <sheetName val="Sparen 2022"/>
      <sheetName val="Finz. Freiheit"/>
      <sheetName val="Business 2022"/>
      <sheetName val="Business 2021"/>
      <sheetName val="Business"/>
      <sheetName val="Tabelle1"/>
      <sheetName val="Business 2020"/>
      <sheetName val="Business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2019</v>
          </cell>
          <cell r="H6">
            <v>6235</v>
          </cell>
          <cell r="K6">
            <v>6033.88</v>
          </cell>
          <cell r="L6">
            <v>6033.88</v>
          </cell>
          <cell r="O6">
            <v>16788.810000000001</v>
          </cell>
          <cell r="P6">
            <v>17710</v>
          </cell>
          <cell r="R6">
            <v>22063.96</v>
          </cell>
        </row>
        <row r="7">
          <cell r="E7">
            <v>2020</v>
          </cell>
          <cell r="H7">
            <v>28500</v>
          </cell>
          <cell r="K7">
            <v>2742.23</v>
          </cell>
          <cell r="L7">
            <v>8776.11</v>
          </cell>
          <cell r="O7">
            <v>26303.467200000003</v>
          </cell>
          <cell r="P7">
            <v>46210</v>
          </cell>
          <cell r="R7">
            <v>53306.19</v>
          </cell>
        </row>
        <row r="8">
          <cell r="E8">
            <v>2021</v>
          </cell>
          <cell r="H8">
            <v>23850</v>
          </cell>
          <cell r="K8">
            <v>4519.43</v>
          </cell>
          <cell r="L8">
            <v>13295.54</v>
          </cell>
          <cell r="O8">
            <v>49459.883263999996</v>
          </cell>
          <cell r="P8">
            <v>70060</v>
          </cell>
          <cell r="R8">
            <v>81675.62</v>
          </cell>
        </row>
        <row r="9">
          <cell r="E9">
            <v>2022</v>
          </cell>
          <cell r="H9">
            <v>2250</v>
          </cell>
          <cell r="K9">
            <v>-2500</v>
          </cell>
          <cell r="L9">
            <v>10795.54</v>
          </cell>
          <cell r="O9">
            <v>78240.871590399998</v>
          </cell>
          <cell r="P9">
            <v>72310</v>
          </cell>
          <cell r="R9">
            <v>81425.62</v>
          </cell>
        </row>
        <row r="10">
          <cell r="E10">
            <v>2023</v>
          </cell>
          <cell r="L10">
            <v>19619.627159039999</v>
          </cell>
          <cell r="O10">
            <v>107064.95874944</v>
          </cell>
          <cell r="P10">
            <v>92310</v>
          </cell>
          <cell r="R10">
            <v>110568.182</v>
          </cell>
        </row>
        <row r="11">
          <cell r="E11">
            <v>2024</v>
          </cell>
          <cell r="L11">
            <v>31326.123033984</v>
          </cell>
          <cell r="O11">
            <v>138771.454624384</v>
          </cell>
          <cell r="P11">
            <v>112310</v>
          </cell>
          <cell r="R11">
            <v>142625.00020000001</v>
          </cell>
        </row>
        <row r="12">
          <cell r="E12">
            <v>2025</v>
          </cell>
          <cell r="L12">
            <v>46203.268496422403</v>
          </cell>
          <cell r="O12">
            <v>173648.60008682241</v>
          </cell>
          <cell r="P12">
            <v>132310</v>
          </cell>
          <cell r="R12">
            <v>177887.50022000002</v>
          </cell>
        </row>
        <row r="13">
          <cell r="E13">
            <v>2026</v>
          </cell>
          <cell r="L13">
            <v>64568.128505104643</v>
          </cell>
          <cell r="O13">
            <v>212013.46009550465</v>
          </cell>
          <cell r="P13">
            <v>152310</v>
          </cell>
          <cell r="R13">
            <v>216676.25024200001</v>
          </cell>
        </row>
        <row r="14">
          <cell r="E14">
            <v>2027</v>
          </cell>
          <cell r="L14">
            <v>86769.474514655114</v>
          </cell>
          <cell r="O14">
            <v>254214.80610505512</v>
          </cell>
          <cell r="P14">
            <v>172310</v>
          </cell>
          <cell r="R14">
            <v>259343.87526620002</v>
          </cell>
        </row>
        <row r="15">
          <cell r="E15">
            <v>2028</v>
          </cell>
          <cell r="L15">
            <v>113190.95512516063</v>
          </cell>
          <cell r="O15">
            <v>300636.28671556065</v>
          </cell>
          <cell r="P15">
            <v>192310</v>
          </cell>
          <cell r="R15">
            <v>306278.26279282005</v>
          </cell>
        </row>
        <row r="16">
          <cell r="E16">
            <v>2029</v>
          </cell>
          <cell r="L16">
            <v>144254.5837967167</v>
          </cell>
          <cell r="O16">
            <v>351699.91538711672</v>
          </cell>
          <cell r="P16">
            <v>212310</v>
          </cell>
          <cell r="R16">
            <v>357906.08907210204</v>
          </cell>
        </row>
        <row r="17">
          <cell r="E17">
            <v>2030</v>
          </cell>
          <cell r="L17">
            <v>180424.57533542838</v>
          </cell>
          <cell r="O17">
            <v>407869.90692582837</v>
          </cell>
          <cell r="P17">
            <v>232310</v>
          </cell>
          <cell r="R17">
            <v>414696.69797931227</v>
          </cell>
        </row>
        <row r="18">
          <cell r="E18">
            <v>2031</v>
          </cell>
          <cell r="L18">
            <v>222211.56602801121</v>
          </cell>
          <cell r="O18">
            <v>469656.89761841123</v>
          </cell>
          <cell r="P18">
            <v>252310</v>
          </cell>
          <cell r="R18">
            <v>477166.36777724349</v>
          </cell>
        </row>
        <row r="19">
          <cell r="E19">
            <v>2032</v>
          </cell>
          <cell r="L19">
            <v>270177.25578985235</v>
          </cell>
          <cell r="O19">
            <v>537622.58738025231</v>
          </cell>
          <cell r="P19">
            <v>272310</v>
          </cell>
          <cell r="R19">
            <v>545883.00455496786</v>
          </cell>
        </row>
        <row r="20">
          <cell r="E20">
            <v>2033</v>
          </cell>
          <cell r="L20">
            <v>324939.51452787756</v>
          </cell>
          <cell r="O20">
            <v>612384.84611827752</v>
          </cell>
          <cell r="P20">
            <v>292310</v>
          </cell>
          <cell r="R20">
            <v>621471.30501046462</v>
          </cell>
        </row>
        <row r="21">
          <cell r="E21">
            <v>2034</v>
          </cell>
          <cell r="L21">
            <v>387177.99913970532</v>
          </cell>
          <cell r="O21">
            <v>694623.33073010528</v>
          </cell>
          <cell r="P21">
            <v>312310</v>
          </cell>
          <cell r="R21">
            <v>704618.43551151105</v>
          </cell>
        </row>
        <row r="22">
          <cell r="E22">
            <v>2035</v>
          </cell>
          <cell r="L22">
            <v>457640.33221271588</v>
          </cell>
          <cell r="O22">
            <v>785085.66380311584</v>
          </cell>
          <cell r="P22">
            <v>332310</v>
          </cell>
          <cell r="R22">
            <v>796080.27906266216</v>
          </cell>
        </row>
        <row r="23">
          <cell r="E23">
            <v>2036</v>
          </cell>
          <cell r="L23">
            <v>537148.89859302749</v>
          </cell>
          <cell r="O23">
            <v>884594.23018342745</v>
          </cell>
          <cell r="P23">
            <v>352310</v>
          </cell>
          <cell r="R23">
            <v>896688.30696892831</v>
          </cell>
        </row>
        <row r="24">
          <cell r="E24">
            <v>2037</v>
          </cell>
          <cell r="L24">
            <v>626608.32161137019</v>
          </cell>
          <cell r="O24">
            <v>994053.65320177027</v>
          </cell>
          <cell r="P24">
            <v>372310</v>
          </cell>
          <cell r="R24">
            <v>1007357.1376658211</v>
          </cell>
        </row>
        <row r="25">
          <cell r="E25">
            <v>2038</v>
          </cell>
          <cell r="L25">
            <v>727013.68693154724</v>
          </cell>
          <cell r="O25">
            <v>1114459.0185219473</v>
          </cell>
          <cell r="P25">
            <v>392310</v>
          </cell>
          <cell r="R25">
            <v>1129092.8514324033</v>
          </cell>
        </row>
        <row r="26">
          <cell r="E26">
            <v>2039</v>
          </cell>
          <cell r="L26">
            <v>839459.58878374193</v>
          </cell>
          <cell r="O26">
            <v>1246904.920374142</v>
          </cell>
          <cell r="P26">
            <v>412310</v>
          </cell>
          <cell r="R26">
            <v>1263002.1365756437</v>
          </cell>
        </row>
        <row r="27">
          <cell r="E27">
            <v>2040</v>
          </cell>
          <cell r="L27">
            <v>965150.08082115615</v>
          </cell>
          <cell r="O27">
            <v>1392595.4124115561</v>
          </cell>
          <cell r="P27">
            <v>432310</v>
          </cell>
          <cell r="R27">
            <v>1410302.3502332079</v>
          </cell>
        </row>
        <row r="28">
          <cell r="E28">
            <v>2041</v>
          </cell>
          <cell r="L28">
            <v>1105409.6220623117</v>
          </cell>
          <cell r="O28">
            <v>1552854.9536527118</v>
          </cell>
          <cell r="P28">
            <v>452310</v>
          </cell>
          <cell r="R28">
            <v>1572332.5852565288</v>
          </cell>
        </row>
        <row r="29">
          <cell r="E29">
            <v>2042</v>
          </cell>
          <cell r="L29">
            <v>1261695.1174275829</v>
          </cell>
          <cell r="O29">
            <v>1729140.4490179829</v>
          </cell>
          <cell r="P29">
            <v>472310</v>
          </cell>
          <cell r="R29">
            <v>1750565.8437821816</v>
          </cell>
        </row>
        <row r="30">
          <cell r="E30">
            <v>2043</v>
          </cell>
          <cell r="L30">
            <v>1435609.1623293811</v>
          </cell>
          <cell r="O30">
            <v>1923054.4939197812</v>
          </cell>
          <cell r="P30">
            <v>492310</v>
          </cell>
          <cell r="R30">
            <v>1946622.4281603997</v>
          </cell>
        </row>
        <row r="31">
          <cell r="E31">
            <v>2044</v>
          </cell>
          <cell r="L31">
            <v>1628914.6117213592</v>
          </cell>
          <cell r="O31">
            <v>2136359.9433117593</v>
          </cell>
          <cell r="P31">
            <v>512310</v>
          </cell>
          <cell r="R31">
            <v>2162284.6709764395</v>
          </cell>
        </row>
        <row r="32">
          <cell r="E32">
            <v>2045</v>
          </cell>
        </row>
        <row r="33">
          <cell r="E33">
            <v>2046</v>
          </cell>
        </row>
        <row r="34">
          <cell r="E34">
            <v>2047</v>
          </cell>
        </row>
        <row r="35">
          <cell r="E35">
            <v>2048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lf, Dominik (ext)" id="{1ACD6F17-DB43-424F-BFF0-F34B92F3399B}" userId="Helf, Dominik (ext)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2" dT="2022-01-25T10:28:41.87" personId="{1ACD6F17-DB43-424F-BFF0-F34B92F3399B}" id="{85F22386-3BE8-4EFC-ABF0-E8F6B31F5E0E}">
    <text>Dieser Wert wird in den Vermögensaufbau übertragen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B035-E250-414A-B36B-B9C3EDC7DB41}">
  <dimension ref="A1:X36"/>
  <sheetViews>
    <sheetView tabSelected="1" zoomScale="95" zoomScaleNormal="95" workbookViewId="0">
      <selection activeCell="Z14" sqref="Z14"/>
    </sheetView>
  </sheetViews>
  <sheetFormatPr baseColWidth="10" defaultColWidth="10.69921875" defaultRowHeight="15.6" outlineLevelCol="1" x14ac:dyDescent="0.3"/>
  <cols>
    <col min="1" max="1" width="1.69921875" customWidth="1"/>
    <col min="2" max="2" width="5.3984375" customWidth="1"/>
    <col min="3" max="3" width="6" customWidth="1"/>
    <col min="4" max="4" width="7" customWidth="1"/>
    <col min="5" max="5" width="10.69921875" customWidth="1"/>
    <col min="6" max="6" width="13" customWidth="1"/>
    <col min="7" max="7" width="0.3984375" customWidth="1"/>
    <col min="8" max="8" width="13.09765625" customWidth="1"/>
    <col min="9" max="9" width="9.59765625" customWidth="1"/>
    <col min="10" max="10" width="13.8984375" bestFit="1" customWidth="1"/>
    <col min="11" max="11" width="13.19921875" customWidth="1"/>
    <col min="12" max="12" width="0.19921875" customWidth="1"/>
    <col min="13" max="14" width="7.19921875" customWidth="1"/>
    <col min="15" max="15" width="14.8984375" customWidth="1"/>
    <col min="16" max="17" width="9.765625E-2" customWidth="1" outlineLevel="1"/>
    <col min="18" max="18" width="15.09765625" customWidth="1"/>
    <col min="19" max="19" width="15.09765625" hidden="1" customWidth="1" outlineLevel="1"/>
    <col min="20" max="20" width="13.19921875" customWidth="1" collapsed="1"/>
    <col min="21" max="21" width="11.19921875" customWidth="1"/>
    <col min="22" max="22" width="9.69921875" customWidth="1"/>
    <col min="23" max="24" width="11.3984375" customWidth="1"/>
    <col min="25" max="25" width="67.5" customWidth="1"/>
  </cols>
  <sheetData>
    <row r="1" spans="1:24" ht="26.4" thickBot="1" x14ac:dyDescent="0.55000000000000004">
      <c r="A1" s="1"/>
      <c r="B1" s="1"/>
      <c r="C1" s="2" t="s">
        <v>0</v>
      </c>
      <c r="D1" s="1"/>
      <c r="E1" s="2"/>
      <c r="F1" s="2"/>
      <c r="G1" s="2"/>
      <c r="H1" s="3">
        <f>R9</f>
        <v>69511.331000000006</v>
      </c>
      <c r="I1" s="3"/>
      <c r="J1" s="1"/>
      <c r="K1" s="1"/>
      <c r="L1" s="1"/>
      <c r="M1" s="1"/>
      <c r="N1" s="1"/>
      <c r="O1" s="1"/>
      <c r="P1" s="4"/>
      <c r="Q1" s="5"/>
      <c r="R1" s="1"/>
      <c r="S1" s="1"/>
      <c r="T1" s="1"/>
      <c r="U1" s="1"/>
      <c r="V1" s="1"/>
      <c r="W1" s="1"/>
      <c r="X1" s="1"/>
    </row>
    <row r="2" spans="1:24" ht="15.6" customHeight="1" x14ac:dyDescent="0.3">
      <c r="A2" s="6"/>
      <c r="B2" s="6"/>
      <c r="C2" s="7"/>
      <c r="D2" s="7"/>
      <c r="E2" s="7"/>
      <c r="F2" s="9" t="s">
        <v>43</v>
      </c>
      <c r="G2" s="8"/>
      <c r="H2" s="200">
        <v>1</v>
      </c>
      <c r="I2" s="9" t="s">
        <v>2</v>
      </c>
      <c r="J2" s="198">
        <v>0.1</v>
      </c>
      <c r="K2" s="9" t="s">
        <v>42</v>
      </c>
      <c r="L2" s="9"/>
      <c r="M2" s="197">
        <v>2500</v>
      </c>
      <c r="N2" s="197"/>
      <c r="O2" s="11"/>
      <c r="P2" s="12"/>
      <c r="Q2" s="12"/>
      <c r="R2" s="11"/>
      <c r="S2" s="11"/>
      <c r="T2" s="13"/>
      <c r="U2" s="14"/>
      <c r="V2" s="14"/>
      <c r="W2" s="6"/>
      <c r="X2" s="6"/>
    </row>
    <row r="3" spans="1:24" x14ac:dyDescent="0.3">
      <c r="A3" s="6"/>
      <c r="B3" s="6"/>
      <c r="C3" s="7"/>
      <c r="D3" s="7"/>
      <c r="E3" s="6"/>
      <c r="F3" s="9" t="s">
        <v>44</v>
      </c>
      <c r="G3" s="8"/>
      <c r="H3" s="201">
        <v>20000</v>
      </c>
      <c r="I3" s="9" t="s">
        <v>3</v>
      </c>
      <c r="J3" s="199">
        <v>3.5000000000000003E-2</v>
      </c>
      <c r="K3" s="202"/>
      <c r="L3" s="202"/>
      <c r="M3" s="203"/>
      <c r="N3" s="203"/>
      <c r="O3" s="11"/>
      <c r="P3" s="12"/>
      <c r="Q3" s="12"/>
      <c r="R3" s="14"/>
      <c r="S3" s="14"/>
      <c r="T3" s="13"/>
      <c r="U3" s="14"/>
      <c r="V3" s="14"/>
      <c r="W3" s="16"/>
      <c r="X3" s="16"/>
    </row>
    <row r="4" spans="1:24" ht="13.95" customHeight="1" x14ac:dyDescent="0.3">
      <c r="A4" s="6"/>
      <c r="B4" s="6"/>
      <c r="C4" s="7"/>
      <c r="D4" s="7"/>
      <c r="E4" s="7"/>
      <c r="F4" s="16"/>
      <c r="G4" s="16"/>
      <c r="H4" s="17"/>
      <c r="I4" s="16"/>
      <c r="J4" s="7"/>
      <c r="K4" s="10"/>
      <c r="L4" s="10"/>
      <c r="M4" s="11"/>
      <c r="N4" s="11"/>
      <c r="O4" s="11"/>
      <c r="P4" s="12"/>
      <c r="Q4" s="12"/>
      <c r="R4" s="14"/>
      <c r="S4" s="14"/>
      <c r="T4" s="13"/>
      <c r="U4" s="14"/>
      <c r="V4" s="14"/>
      <c r="W4" s="6"/>
      <c r="X4" s="6"/>
    </row>
    <row r="5" spans="1:24" ht="16.2" thickBot="1" x14ac:dyDescent="0.35">
      <c r="A5" s="18"/>
      <c r="B5" s="19"/>
      <c r="C5" s="20" t="s">
        <v>4</v>
      </c>
      <c r="D5" s="21" t="s">
        <v>5</v>
      </c>
      <c r="E5" s="22" t="s">
        <v>6</v>
      </c>
      <c r="F5" s="23" t="s">
        <v>7</v>
      </c>
      <c r="G5" s="23" t="s">
        <v>8</v>
      </c>
      <c r="H5" s="23" t="s">
        <v>9</v>
      </c>
      <c r="I5" s="24" t="s">
        <v>10</v>
      </c>
      <c r="J5" s="25" t="s">
        <v>11</v>
      </c>
      <c r="K5" s="26" t="s">
        <v>12</v>
      </c>
      <c r="L5" s="26" t="s">
        <v>8</v>
      </c>
      <c r="M5" s="26" t="s">
        <v>2</v>
      </c>
      <c r="N5" s="27" t="s">
        <v>10</v>
      </c>
      <c r="O5" s="28" t="s">
        <v>13</v>
      </c>
      <c r="P5" s="29" t="s">
        <v>14</v>
      </c>
      <c r="Q5" s="29" t="s">
        <v>15</v>
      </c>
      <c r="R5" s="28" t="s">
        <v>16</v>
      </c>
      <c r="S5" s="28"/>
      <c r="T5" s="30" t="s">
        <v>17</v>
      </c>
      <c r="U5" s="24" t="s">
        <v>10</v>
      </c>
      <c r="V5" s="31" t="s">
        <v>18</v>
      </c>
      <c r="W5" s="32" t="str">
        <f>"Monatl. " &amp; J3*100 &amp; "%"</f>
        <v>Monatl. 3,5%</v>
      </c>
      <c r="X5" s="32" t="s">
        <v>19</v>
      </c>
    </row>
    <row r="6" spans="1:24" x14ac:dyDescent="0.3">
      <c r="A6" s="33"/>
      <c r="B6" s="34">
        <f>J2</f>
        <v>0.1</v>
      </c>
      <c r="C6" s="35">
        <v>1</v>
      </c>
      <c r="D6" s="36">
        <v>25</v>
      </c>
      <c r="E6" s="37">
        <v>2019</v>
      </c>
      <c r="F6" s="38">
        <f>H3</f>
        <v>20000</v>
      </c>
      <c r="G6" s="38">
        <f>F6</f>
        <v>20000</v>
      </c>
      <c r="H6" s="39">
        <f>'Sparen 2022'!D22+'Sparen 2022'!G22</f>
        <v>0</v>
      </c>
      <c r="I6" s="40">
        <f>H6/F6</f>
        <v>0</v>
      </c>
      <c r="J6" s="41">
        <f>(10946)*B6</f>
        <v>1094.6000000000001</v>
      </c>
      <c r="K6" s="42"/>
      <c r="L6" s="42">
        <f>IF(K6&lt;&gt;"",K6,J6)</f>
        <v>1094.6000000000001</v>
      </c>
      <c r="M6" s="43">
        <f>IF(K6&lt;&gt;0,K6/(11362+H6/2),0)</f>
        <v>0</v>
      </c>
      <c r="N6" s="44">
        <f>K6/J6</f>
        <v>0</v>
      </c>
      <c r="O6" s="45">
        <f>11475.29+F6+J6</f>
        <v>32569.89</v>
      </c>
      <c r="P6" s="46">
        <f>IF(H6=0,F6,H6)+11475</f>
        <v>31475</v>
      </c>
      <c r="Q6" s="46">
        <f>IF(K6=0,J6,K6)</f>
        <v>1094.6000000000001</v>
      </c>
      <c r="R6" s="47">
        <f>H6+K6+H2</f>
        <v>1</v>
      </c>
      <c r="S6" s="47" t="e">
        <f>R6+#REF!</f>
        <v>#REF!</v>
      </c>
      <c r="T6" s="48">
        <f>R6-O6</f>
        <v>-32568.89</v>
      </c>
      <c r="U6" s="49">
        <f t="shared" ref="U6:U35" si="0">R6/O6</f>
        <v>3.070320470839785E-5</v>
      </c>
      <c r="V6" s="50" t="s">
        <v>20</v>
      </c>
      <c r="W6" s="51">
        <f>R6*$J$3*(1-0.26375)/12</f>
        <v>2.1473958333333336E-3</v>
      </c>
      <c r="X6" s="52">
        <f>W6/M$2</f>
        <v>8.589583333333334E-7</v>
      </c>
    </row>
    <row r="7" spans="1:24" x14ac:dyDescent="0.3">
      <c r="A7" s="6"/>
      <c r="B7" s="34">
        <f>J2</f>
        <v>0.1</v>
      </c>
      <c r="C7" s="53">
        <v>2</v>
      </c>
      <c r="D7" s="54">
        <v>26</v>
      </c>
      <c r="E7" s="55">
        <v>2020</v>
      </c>
      <c r="F7" s="56">
        <f>F6</f>
        <v>20000</v>
      </c>
      <c r="G7" s="56">
        <f>F7+G6</f>
        <v>40000</v>
      </c>
      <c r="H7" s="57"/>
      <c r="I7" s="58">
        <f>IF(F7=0,"",H7/F7)</f>
        <v>0</v>
      </c>
      <c r="J7" s="59">
        <f>(O6)*B7</f>
        <v>3256.989</v>
      </c>
      <c r="K7" s="60"/>
      <c r="L7" s="61">
        <f>IF(K7&lt;&gt;"",K7,J7)+L6</f>
        <v>4351.5889999999999</v>
      </c>
      <c r="M7" s="62">
        <f>IF(K7&lt;&gt;0,K7/(R6+H7/2),0)</f>
        <v>0</v>
      </c>
      <c r="N7" s="63">
        <f t="shared" ref="N7:N35" si="1">K7/J7</f>
        <v>0</v>
      </c>
      <c r="O7" s="64">
        <f>O6+F7+J7</f>
        <v>55826.879000000001</v>
      </c>
      <c r="P7" s="65">
        <f>IF(H7=0,F7+P6,H7+P6)</f>
        <v>51475</v>
      </c>
      <c r="Q7" s="65">
        <f>IF(K7=0,J7+Q6,K7+Q6)</f>
        <v>4351.5889999999999</v>
      </c>
      <c r="R7" s="66">
        <f>IF(AND(H7=0,K7=0),(R6+F7)+(R6+F7/2)*B7,R6+H7+K7)</f>
        <v>21001.1</v>
      </c>
      <c r="S7" s="66" t="e">
        <f>R7+#REF!</f>
        <v>#REF!</v>
      </c>
      <c r="T7" s="67">
        <f t="shared" ref="T7:T35" si="2">R7-O7</f>
        <v>-34825.779000000002</v>
      </c>
      <c r="U7" s="68">
        <f t="shared" si="0"/>
        <v>0.3761825911851529</v>
      </c>
      <c r="V7" s="69">
        <f>R7/R6-1</f>
        <v>21000.1</v>
      </c>
      <c r="W7" s="70">
        <f t="shared" ref="W7:W35" si="3">((R7*$J$3-1600)*(1-0.26375)+1600)/12</f>
        <v>80.264341302083324</v>
      </c>
      <c r="X7" s="71">
        <f>W7/M$2</f>
        <v>3.2105736520833331E-2</v>
      </c>
    </row>
    <row r="8" spans="1:24" x14ac:dyDescent="0.3">
      <c r="A8" s="6"/>
      <c r="B8" s="72">
        <f>J2</f>
        <v>0.1</v>
      </c>
      <c r="C8" s="53">
        <v>3</v>
      </c>
      <c r="D8" s="54">
        <v>27</v>
      </c>
      <c r="E8" s="55">
        <v>2021</v>
      </c>
      <c r="F8" s="56">
        <f>F7</f>
        <v>20000</v>
      </c>
      <c r="G8" s="56">
        <f t="shared" ref="G8:G35" si="4">F8+G7</f>
        <v>60000</v>
      </c>
      <c r="H8" s="57"/>
      <c r="I8" s="58">
        <f t="shared" ref="I8:I35" si="5">IF(F8=0,"",H8/F8)</f>
        <v>0</v>
      </c>
      <c r="J8" s="59">
        <f>(O7)*B8</f>
        <v>5582.6879000000008</v>
      </c>
      <c r="K8" s="60"/>
      <c r="L8" s="61">
        <f t="shared" ref="L8:L35" si="6">IF(K8&lt;&gt;"",K8,J8)+L7</f>
        <v>9934.2769000000008</v>
      </c>
      <c r="M8" s="62">
        <f t="shared" ref="M8:M35" si="7">IF(K8&lt;&gt;0,K8/(R7+H8/2),0)</f>
        <v>0</v>
      </c>
      <c r="N8" s="63">
        <f t="shared" si="1"/>
        <v>0</v>
      </c>
      <c r="O8" s="64">
        <f>O7+F8+J8</f>
        <v>81409.566900000005</v>
      </c>
      <c r="P8" s="65">
        <f>IF(H8=0,F8+P7,H8+P7)</f>
        <v>71475</v>
      </c>
      <c r="Q8" s="65">
        <f t="shared" ref="Q8:Q35" si="8">IF(K8=0,J8+Q7,K8+Q7)</f>
        <v>9934.2769000000008</v>
      </c>
      <c r="R8" s="66">
        <f>IF(AND(H8=0,K8=0),(R7+F8)+(R7+F8/2)*B8,R7+H8+K8)</f>
        <v>44101.21</v>
      </c>
      <c r="S8" s="66" t="e">
        <f>R8+#REF!</f>
        <v>#REF!</v>
      </c>
      <c r="T8" s="67">
        <f t="shared" si="2"/>
        <v>-37308.356900000006</v>
      </c>
      <c r="U8" s="68">
        <f t="shared" si="0"/>
        <v>0.54172023853378337</v>
      </c>
      <c r="V8" s="69">
        <f t="shared" ref="V8:V35" si="9">R8/R7-1</f>
        <v>1.0999476217912396</v>
      </c>
      <c r="W8" s="70">
        <f t="shared" si="3"/>
        <v>129.86942126562499</v>
      </c>
      <c r="X8" s="71">
        <f>W8/M$2</f>
        <v>5.1947768506249999E-2</v>
      </c>
    </row>
    <row r="9" spans="1:24" x14ac:dyDescent="0.3">
      <c r="A9" s="18"/>
      <c r="B9" s="73">
        <f t="shared" ref="B9:B35" si="10">$J$2</f>
        <v>0.1</v>
      </c>
      <c r="C9" s="74">
        <v>4</v>
      </c>
      <c r="D9" s="75">
        <v>28</v>
      </c>
      <c r="E9" s="76">
        <v>2022</v>
      </c>
      <c r="F9" s="77">
        <f>F8</f>
        <v>20000</v>
      </c>
      <c r="G9" s="77">
        <f t="shared" si="4"/>
        <v>80000</v>
      </c>
      <c r="H9" s="78"/>
      <c r="I9" s="79">
        <f t="shared" si="5"/>
        <v>0</v>
      </c>
      <c r="J9" s="80">
        <f>(O8+F9/2)*B9</f>
        <v>9140.9566900000009</v>
      </c>
      <c r="K9" s="81"/>
      <c r="L9" s="82">
        <f t="shared" si="6"/>
        <v>19075.233590000003</v>
      </c>
      <c r="M9" s="83">
        <f t="shared" si="7"/>
        <v>0</v>
      </c>
      <c r="N9" s="84">
        <f t="shared" si="1"/>
        <v>0</v>
      </c>
      <c r="O9" s="85">
        <f>O8+F9+J9</f>
        <v>110550.52359000001</v>
      </c>
      <c r="P9" s="86">
        <f t="shared" ref="P9:P35" si="11">IF(H9=0,F9+P8,H9+P8)</f>
        <v>91475</v>
      </c>
      <c r="Q9" s="86">
        <f t="shared" si="8"/>
        <v>19075.233590000003</v>
      </c>
      <c r="R9" s="87">
        <f>IF(AND(H9=0,K9=0),(R8+F9)+(R8+F9/2)*B9,R8+H9+K9)</f>
        <v>69511.331000000006</v>
      </c>
      <c r="S9" s="87" t="e">
        <f>R9+#REF!</f>
        <v>#REF!</v>
      </c>
      <c r="T9" s="88">
        <f t="shared" si="2"/>
        <v>-41039.192590000006</v>
      </c>
      <c r="U9" s="89">
        <f t="shared" si="0"/>
        <v>0.62877432636861563</v>
      </c>
      <c r="V9" s="90">
        <f t="shared" si="9"/>
        <v>0.57617741100527642</v>
      </c>
      <c r="W9" s="91">
        <f t="shared" si="3"/>
        <v>184.43500922552084</v>
      </c>
      <c r="X9" s="92">
        <f>W9/M$2</f>
        <v>7.377400369020834E-2</v>
      </c>
    </row>
    <row r="10" spans="1:24" x14ac:dyDescent="0.3">
      <c r="A10" s="93"/>
      <c r="B10" s="94">
        <f t="shared" si="10"/>
        <v>0.1</v>
      </c>
      <c r="C10" s="95">
        <v>5</v>
      </c>
      <c r="D10" s="96">
        <v>29</v>
      </c>
      <c r="E10" s="97">
        <v>2023</v>
      </c>
      <c r="F10" s="98">
        <f>H3</f>
        <v>20000</v>
      </c>
      <c r="G10" s="98">
        <f t="shared" si="4"/>
        <v>100000</v>
      </c>
      <c r="H10" s="98"/>
      <c r="I10" s="99">
        <f t="shared" si="5"/>
        <v>0</v>
      </c>
      <c r="J10" s="100">
        <f>(O9+F10/2)*B10</f>
        <v>12055.052359000001</v>
      </c>
      <c r="K10" s="101"/>
      <c r="L10" s="102">
        <f t="shared" si="6"/>
        <v>31130.285949000005</v>
      </c>
      <c r="M10" s="103">
        <f t="shared" si="7"/>
        <v>0</v>
      </c>
      <c r="N10" s="104">
        <f t="shared" si="1"/>
        <v>0</v>
      </c>
      <c r="O10" s="105">
        <f>O9+F10+J10</f>
        <v>142605.57594900002</v>
      </c>
      <c r="P10" s="106">
        <f t="shared" si="11"/>
        <v>111475</v>
      </c>
      <c r="Q10" s="106">
        <f t="shared" si="8"/>
        <v>31130.285949000005</v>
      </c>
      <c r="R10" s="107">
        <f t="shared" ref="R10:R31" si="12">IF(AND(H10=0,K10=0),(R9+F10)+(R9+F10/2)*B10,R9+H10+K10)</f>
        <v>97462.464100000012</v>
      </c>
      <c r="S10" s="107" t="e">
        <f>R10+#REF!</f>
        <v>#REF!</v>
      </c>
      <c r="T10" s="108">
        <f t="shared" si="2"/>
        <v>-45143.111849000008</v>
      </c>
      <c r="U10" s="109">
        <f t="shared" si="0"/>
        <v>0.68344076626327344</v>
      </c>
      <c r="V10" s="110">
        <f t="shared" si="9"/>
        <v>0.40210901874400884</v>
      </c>
      <c r="W10" s="111">
        <f t="shared" si="3"/>
        <v>244.45715598140632</v>
      </c>
      <c r="X10" s="112">
        <f>W10/M$2</f>
        <v>9.7782862392562522E-2</v>
      </c>
    </row>
    <row r="11" spans="1:24" x14ac:dyDescent="0.3">
      <c r="A11" s="113"/>
      <c r="B11" s="114">
        <f t="shared" si="10"/>
        <v>0.1</v>
      </c>
      <c r="C11" s="115">
        <v>6</v>
      </c>
      <c r="D11" s="116">
        <v>30</v>
      </c>
      <c r="E11" s="117">
        <v>2024</v>
      </c>
      <c r="F11" s="118">
        <f t="shared" ref="F11:F35" si="13">F10</f>
        <v>20000</v>
      </c>
      <c r="G11" s="98">
        <f t="shared" si="4"/>
        <v>120000</v>
      </c>
      <c r="H11" s="119"/>
      <c r="I11" s="120">
        <f t="shared" si="5"/>
        <v>0</v>
      </c>
      <c r="J11" s="121">
        <f t="shared" ref="J11:J31" si="14">(O10+F11/2)*B11</f>
        <v>15260.557594900003</v>
      </c>
      <c r="K11" s="102"/>
      <c r="L11" s="102">
        <f t="shared" si="6"/>
        <v>46390.84354390001</v>
      </c>
      <c r="M11" s="122">
        <f t="shared" si="7"/>
        <v>0</v>
      </c>
      <c r="N11" s="123">
        <f t="shared" si="1"/>
        <v>0</v>
      </c>
      <c r="O11" s="124">
        <f t="shared" ref="O11:O35" si="15">O10+F11+J11</f>
        <v>177866.13354390001</v>
      </c>
      <c r="P11" s="125">
        <f t="shared" si="11"/>
        <v>131475</v>
      </c>
      <c r="Q11" s="125">
        <f t="shared" si="8"/>
        <v>46390.84354390001</v>
      </c>
      <c r="R11" s="126">
        <f>IF(AND(H11=0,K11=0),(R10+F11)+(R10+F11/2)*B11,R10+H11+K11)</f>
        <v>128208.71051000002</v>
      </c>
      <c r="S11" s="126" t="e">
        <f>R11+#REF!</f>
        <v>#REF!</v>
      </c>
      <c r="T11" s="127">
        <f t="shared" si="2"/>
        <v>-49657.423033899991</v>
      </c>
      <c r="U11" s="128">
        <f t="shared" si="0"/>
        <v>0.72081575033707135</v>
      </c>
      <c r="V11" s="129">
        <f t="shared" si="9"/>
        <v>0.3154675668619793</v>
      </c>
      <c r="W11" s="130">
        <f t="shared" si="3"/>
        <v>310.48151741288029</v>
      </c>
      <c r="X11" s="131">
        <f>W11/M$2</f>
        <v>0.12419260696515212</v>
      </c>
    </row>
    <row r="12" spans="1:24" x14ac:dyDescent="0.3">
      <c r="A12" s="93"/>
      <c r="B12" s="94">
        <f t="shared" si="10"/>
        <v>0.1</v>
      </c>
      <c r="C12" s="95">
        <v>7</v>
      </c>
      <c r="D12" s="96">
        <v>31</v>
      </c>
      <c r="E12" s="97">
        <v>2025</v>
      </c>
      <c r="F12" s="98">
        <f t="shared" si="13"/>
        <v>20000</v>
      </c>
      <c r="G12" s="98">
        <f t="shared" si="4"/>
        <v>140000</v>
      </c>
      <c r="H12" s="98"/>
      <c r="I12" s="99">
        <f t="shared" si="5"/>
        <v>0</v>
      </c>
      <c r="J12" s="100">
        <f t="shared" si="14"/>
        <v>18786.613354390003</v>
      </c>
      <c r="K12" s="101"/>
      <c r="L12" s="102">
        <f t="shared" si="6"/>
        <v>65177.456898290009</v>
      </c>
      <c r="M12" s="103">
        <f t="shared" si="7"/>
        <v>0</v>
      </c>
      <c r="N12" s="104">
        <f t="shared" si="1"/>
        <v>0</v>
      </c>
      <c r="O12" s="105">
        <f t="shared" si="15"/>
        <v>216652.74689829</v>
      </c>
      <c r="P12" s="106">
        <f t="shared" si="11"/>
        <v>151475</v>
      </c>
      <c r="Q12" s="106">
        <f t="shared" si="8"/>
        <v>65177.456898290009</v>
      </c>
      <c r="R12" s="107">
        <f t="shared" si="12"/>
        <v>162029.581561</v>
      </c>
      <c r="S12" s="107" t="e">
        <f>R12+#REF!</f>
        <v>#REF!</v>
      </c>
      <c r="T12" s="108">
        <f t="shared" si="2"/>
        <v>-54623.165337290004</v>
      </c>
      <c r="U12" s="109">
        <f t="shared" si="0"/>
        <v>0.7478768853877793</v>
      </c>
      <c r="V12" s="110">
        <f t="shared" si="9"/>
        <v>0.26379542323188732</v>
      </c>
      <c r="W12" s="111">
        <f t="shared" si="3"/>
        <v>383.10831498750167</v>
      </c>
      <c r="X12" s="112">
        <f>W12/M$2</f>
        <v>0.15324332599500068</v>
      </c>
    </row>
    <row r="13" spans="1:24" x14ac:dyDescent="0.3">
      <c r="A13" s="93"/>
      <c r="B13" s="94">
        <f t="shared" si="10"/>
        <v>0.1</v>
      </c>
      <c r="C13" s="95">
        <v>8</v>
      </c>
      <c r="D13" s="96">
        <v>32</v>
      </c>
      <c r="E13" s="97">
        <v>2026</v>
      </c>
      <c r="F13" s="98">
        <f t="shared" si="13"/>
        <v>20000</v>
      </c>
      <c r="G13" s="98">
        <f t="shared" si="4"/>
        <v>160000</v>
      </c>
      <c r="H13" s="98"/>
      <c r="I13" s="99">
        <f t="shared" si="5"/>
        <v>0</v>
      </c>
      <c r="J13" s="100">
        <f t="shared" si="14"/>
        <v>22665.274689829002</v>
      </c>
      <c r="K13" s="101"/>
      <c r="L13" s="102">
        <f t="shared" si="6"/>
        <v>87842.731588119015</v>
      </c>
      <c r="M13" s="103">
        <f t="shared" si="7"/>
        <v>0</v>
      </c>
      <c r="N13" s="104">
        <f t="shared" si="1"/>
        <v>0</v>
      </c>
      <c r="O13" s="105">
        <f t="shared" si="15"/>
        <v>259318.02158811901</v>
      </c>
      <c r="P13" s="106">
        <f>IF(H13=0,F13+P12,H13+P12)</f>
        <v>171475</v>
      </c>
      <c r="Q13" s="106">
        <f t="shared" si="8"/>
        <v>87842.731588119015</v>
      </c>
      <c r="R13" s="107">
        <f t="shared" si="12"/>
        <v>199232.53971710001</v>
      </c>
      <c r="S13" s="107" t="e">
        <f>R13+#REF!</f>
        <v>#REF!</v>
      </c>
      <c r="T13" s="108">
        <f t="shared" si="2"/>
        <v>-60085.481871019001</v>
      </c>
      <c r="U13" s="109">
        <f t="shared" si="0"/>
        <v>0.76829422998431551</v>
      </c>
      <c r="V13" s="110">
        <f t="shared" si="9"/>
        <v>0.2296059632919194</v>
      </c>
      <c r="W13" s="111">
        <f t="shared" si="3"/>
        <v>462.99779231958519</v>
      </c>
      <c r="X13" s="112">
        <f>W13/M$2</f>
        <v>0.18519911692783408</v>
      </c>
    </row>
    <row r="14" spans="1:24" x14ac:dyDescent="0.3">
      <c r="A14" s="93"/>
      <c r="B14" s="94">
        <f t="shared" si="10"/>
        <v>0.1</v>
      </c>
      <c r="C14" s="95">
        <v>9</v>
      </c>
      <c r="D14" s="96">
        <v>33</v>
      </c>
      <c r="E14" s="97">
        <v>2027</v>
      </c>
      <c r="F14" s="98">
        <f t="shared" si="13"/>
        <v>20000</v>
      </c>
      <c r="G14" s="98">
        <f t="shared" si="4"/>
        <v>180000</v>
      </c>
      <c r="H14" s="98"/>
      <c r="I14" s="99">
        <f t="shared" si="5"/>
        <v>0</v>
      </c>
      <c r="J14" s="100">
        <f t="shared" si="14"/>
        <v>26931.802158811901</v>
      </c>
      <c r="K14" s="101"/>
      <c r="L14" s="102">
        <f t="shared" si="6"/>
        <v>114774.53374693092</v>
      </c>
      <c r="M14" s="103">
        <f t="shared" si="7"/>
        <v>0</v>
      </c>
      <c r="N14" s="104">
        <f t="shared" si="1"/>
        <v>0</v>
      </c>
      <c r="O14" s="105">
        <f t="shared" si="15"/>
        <v>306249.82374693087</v>
      </c>
      <c r="P14" s="106">
        <f t="shared" si="11"/>
        <v>191475</v>
      </c>
      <c r="Q14" s="106">
        <f t="shared" si="8"/>
        <v>114774.53374693092</v>
      </c>
      <c r="R14" s="107">
        <f t="shared" si="12"/>
        <v>240155.79368881002</v>
      </c>
      <c r="S14" s="107" t="e">
        <f>R14+#REF!</f>
        <v>#REF!</v>
      </c>
      <c r="T14" s="108">
        <f t="shared" si="2"/>
        <v>-66094.030058120843</v>
      </c>
      <c r="U14" s="109">
        <f t="shared" si="0"/>
        <v>0.78418263478663242</v>
      </c>
      <c r="V14" s="110">
        <f t="shared" si="9"/>
        <v>0.2054044687169021</v>
      </c>
      <c r="W14" s="111">
        <f t="shared" si="3"/>
        <v>550.87621738487701</v>
      </c>
      <c r="X14" s="112">
        <f>W14/M$2</f>
        <v>0.22035048695395079</v>
      </c>
    </row>
    <row r="15" spans="1:24" x14ac:dyDescent="0.3">
      <c r="A15" s="93"/>
      <c r="B15" s="94">
        <f t="shared" si="10"/>
        <v>0.1</v>
      </c>
      <c r="C15" s="95">
        <v>10</v>
      </c>
      <c r="D15" s="96">
        <v>34</v>
      </c>
      <c r="E15" s="97">
        <v>2028</v>
      </c>
      <c r="F15" s="98">
        <f t="shared" si="13"/>
        <v>20000</v>
      </c>
      <c r="G15" s="98">
        <f t="shared" si="4"/>
        <v>200000</v>
      </c>
      <c r="H15" s="98"/>
      <c r="I15" s="99">
        <f t="shared" si="5"/>
        <v>0</v>
      </c>
      <c r="J15" s="100">
        <f t="shared" si="14"/>
        <v>31624.982374693089</v>
      </c>
      <c r="K15" s="101"/>
      <c r="L15" s="102">
        <f t="shared" si="6"/>
        <v>146399.51612162401</v>
      </c>
      <c r="M15" s="103">
        <f t="shared" si="7"/>
        <v>0</v>
      </c>
      <c r="N15" s="104">
        <f t="shared" si="1"/>
        <v>0</v>
      </c>
      <c r="O15" s="105">
        <f t="shared" si="15"/>
        <v>357874.80612162396</v>
      </c>
      <c r="P15" s="106">
        <f t="shared" si="11"/>
        <v>211475</v>
      </c>
      <c r="Q15" s="106">
        <f t="shared" si="8"/>
        <v>146399.51612162401</v>
      </c>
      <c r="R15" s="107">
        <f t="shared" si="12"/>
        <v>285171.37305769103</v>
      </c>
      <c r="S15" s="107" t="e">
        <f>R15+#REF!</f>
        <v>#REF!</v>
      </c>
      <c r="T15" s="108">
        <f t="shared" si="2"/>
        <v>-72703.433063932927</v>
      </c>
      <c r="U15" s="109">
        <f t="shared" si="0"/>
        <v>0.79684674131761979</v>
      </c>
      <c r="V15" s="110">
        <f t="shared" si="9"/>
        <v>0.18744323706473409</v>
      </c>
      <c r="W15" s="111">
        <f t="shared" si="3"/>
        <v>647.5424849566981</v>
      </c>
      <c r="X15" s="112">
        <f>W15/M$2</f>
        <v>0.25901699398267924</v>
      </c>
    </row>
    <row r="16" spans="1:24" x14ac:dyDescent="0.3">
      <c r="A16" s="113"/>
      <c r="B16" s="114">
        <f t="shared" si="10"/>
        <v>0.1</v>
      </c>
      <c r="C16" s="115">
        <v>11</v>
      </c>
      <c r="D16" s="116">
        <v>35</v>
      </c>
      <c r="E16" s="117">
        <v>2029</v>
      </c>
      <c r="F16" s="118">
        <f t="shared" si="13"/>
        <v>20000</v>
      </c>
      <c r="G16" s="98">
        <f t="shared" si="4"/>
        <v>220000</v>
      </c>
      <c r="H16" s="119"/>
      <c r="I16" s="120">
        <f t="shared" si="5"/>
        <v>0</v>
      </c>
      <c r="J16" s="121">
        <f t="shared" si="14"/>
        <v>36787.480612162399</v>
      </c>
      <c r="K16" s="102"/>
      <c r="L16" s="102">
        <f t="shared" si="6"/>
        <v>183186.99673378642</v>
      </c>
      <c r="M16" s="122">
        <f t="shared" si="7"/>
        <v>0</v>
      </c>
      <c r="N16" s="123">
        <f t="shared" si="1"/>
        <v>0</v>
      </c>
      <c r="O16" s="124">
        <f t="shared" si="15"/>
        <v>414662.28673378634</v>
      </c>
      <c r="P16" s="125">
        <f t="shared" si="11"/>
        <v>231475</v>
      </c>
      <c r="Q16" s="125">
        <f t="shared" si="8"/>
        <v>183186.99673378642</v>
      </c>
      <c r="R16" s="126">
        <f t="shared" si="12"/>
        <v>334688.51036346011</v>
      </c>
      <c r="S16" s="126" t="e">
        <f>R16+#REF!</f>
        <v>#REF!</v>
      </c>
      <c r="T16" s="127">
        <f t="shared" si="2"/>
        <v>-79973.776370326232</v>
      </c>
      <c r="U16" s="128">
        <f t="shared" si="0"/>
        <v>0.8071351581059758</v>
      </c>
      <c r="V16" s="129">
        <f t="shared" si="9"/>
        <v>0.17363993017543033</v>
      </c>
      <c r="W16" s="130">
        <f t="shared" si="3"/>
        <v>753.87537928570111</v>
      </c>
      <c r="X16" s="131">
        <f>W16/M$2</f>
        <v>0.30155015171428046</v>
      </c>
    </row>
    <row r="17" spans="1:24" x14ac:dyDescent="0.3">
      <c r="A17" s="93"/>
      <c r="B17" s="94">
        <f t="shared" si="10"/>
        <v>0.1</v>
      </c>
      <c r="C17" s="95">
        <v>12</v>
      </c>
      <c r="D17" s="96">
        <v>36</v>
      </c>
      <c r="E17" s="97">
        <v>2030</v>
      </c>
      <c r="F17" s="98">
        <f t="shared" si="13"/>
        <v>20000</v>
      </c>
      <c r="G17" s="98">
        <f t="shared" si="4"/>
        <v>240000</v>
      </c>
      <c r="H17" s="98"/>
      <c r="I17" s="99">
        <f t="shared" si="5"/>
        <v>0</v>
      </c>
      <c r="J17" s="100">
        <f t="shared" si="14"/>
        <v>42466.228673378639</v>
      </c>
      <c r="K17" s="101"/>
      <c r="L17" s="102">
        <f t="shared" si="6"/>
        <v>225653.22540716507</v>
      </c>
      <c r="M17" s="103">
        <f t="shared" si="7"/>
        <v>0</v>
      </c>
      <c r="N17" s="104">
        <f t="shared" si="1"/>
        <v>0</v>
      </c>
      <c r="O17" s="105">
        <f t="shared" si="15"/>
        <v>477128.51540716499</v>
      </c>
      <c r="P17" s="106">
        <f t="shared" si="11"/>
        <v>251475</v>
      </c>
      <c r="Q17" s="106">
        <f t="shared" si="8"/>
        <v>225653.22540716507</v>
      </c>
      <c r="R17" s="107">
        <f t="shared" si="12"/>
        <v>389157.3613998061</v>
      </c>
      <c r="S17" s="107" t="e">
        <f>R17+#REF!</f>
        <v>#REF!</v>
      </c>
      <c r="T17" s="108">
        <f t="shared" si="2"/>
        <v>-87971.154007358884</v>
      </c>
      <c r="U17" s="109">
        <f t="shared" si="0"/>
        <v>0.81562377605478609</v>
      </c>
      <c r="V17" s="110">
        <f t="shared" si="9"/>
        <v>0.1627449086232291</v>
      </c>
      <c r="W17" s="111">
        <f t="shared" si="3"/>
        <v>870.84156304760461</v>
      </c>
      <c r="X17" s="112">
        <f>W17/M$2</f>
        <v>0.34833662521904185</v>
      </c>
    </row>
    <row r="18" spans="1:24" x14ac:dyDescent="0.3">
      <c r="A18" s="93"/>
      <c r="B18" s="94">
        <f t="shared" si="10"/>
        <v>0.1</v>
      </c>
      <c r="C18" s="95">
        <v>13</v>
      </c>
      <c r="D18" s="96">
        <v>37</v>
      </c>
      <c r="E18" s="97">
        <v>2031</v>
      </c>
      <c r="F18" s="98">
        <f t="shared" si="13"/>
        <v>20000</v>
      </c>
      <c r="G18" s="98">
        <f t="shared" si="4"/>
        <v>260000</v>
      </c>
      <c r="H18" s="98"/>
      <c r="I18" s="99">
        <f t="shared" si="5"/>
        <v>0</v>
      </c>
      <c r="J18" s="100">
        <f t="shared" si="14"/>
        <v>48712.851540716503</v>
      </c>
      <c r="K18" s="101"/>
      <c r="L18" s="102">
        <f t="shared" si="6"/>
        <v>274366.07694788155</v>
      </c>
      <c r="M18" s="103">
        <f t="shared" si="7"/>
        <v>0</v>
      </c>
      <c r="N18" s="104">
        <f t="shared" si="1"/>
        <v>0</v>
      </c>
      <c r="O18" s="105">
        <f t="shared" si="15"/>
        <v>545841.36694788153</v>
      </c>
      <c r="P18" s="106">
        <f t="shared" si="11"/>
        <v>271475</v>
      </c>
      <c r="Q18" s="106">
        <f t="shared" si="8"/>
        <v>274366.07694788155</v>
      </c>
      <c r="R18" s="107">
        <f t="shared" si="12"/>
        <v>449073.09753978672</v>
      </c>
      <c r="S18" s="107" t="e">
        <f>R18+#REF!</f>
        <v>#REF!</v>
      </c>
      <c r="T18" s="108">
        <f t="shared" si="2"/>
        <v>-96768.269408094813</v>
      </c>
      <c r="U18" s="109">
        <f t="shared" si="0"/>
        <v>0.82271723019238574</v>
      </c>
      <c r="V18" s="110">
        <f t="shared" si="9"/>
        <v>0.15396274639251994</v>
      </c>
      <c r="W18" s="111">
        <f t="shared" si="3"/>
        <v>999.50436518569848</v>
      </c>
      <c r="X18" s="112">
        <f>W18/M$2</f>
        <v>0.39980174607427937</v>
      </c>
    </row>
    <row r="19" spans="1:24" x14ac:dyDescent="0.3">
      <c r="A19" s="93"/>
      <c r="B19" s="94">
        <f t="shared" si="10"/>
        <v>0.1</v>
      </c>
      <c r="C19" s="95">
        <v>14</v>
      </c>
      <c r="D19" s="96">
        <v>38</v>
      </c>
      <c r="E19" s="97">
        <v>2032</v>
      </c>
      <c r="F19" s="98">
        <f t="shared" si="13"/>
        <v>20000</v>
      </c>
      <c r="G19" s="98">
        <f t="shared" si="4"/>
        <v>280000</v>
      </c>
      <c r="H19" s="98"/>
      <c r="I19" s="99">
        <f t="shared" si="5"/>
        <v>0</v>
      </c>
      <c r="J19" s="100">
        <f t="shared" si="14"/>
        <v>55584.136694788154</v>
      </c>
      <c r="K19" s="101"/>
      <c r="L19" s="102">
        <f t="shared" si="6"/>
        <v>329950.21364266973</v>
      </c>
      <c r="M19" s="103">
        <f t="shared" si="7"/>
        <v>0</v>
      </c>
      <c r="N19" s="104">
        <f t="shared" si="1"/>
        <v>0</v>
      </c>
      <c r="O19" s="105">
        <f t="shared" si="15"/>
        <v>621425.50364266965</v>
      </c>
      <c r="P19" s="106">
        <f t="shared" si="11"/>
        <v>291475</v>
      </c>
      <c r="Q19" s="106">
        <f t="shared" si="8"/>
        <v>329950.21364266973</v>
      </c>
      <c r="R19" s="107">
        <f t="shared" si="12"/>
        <v>514980.4072937654</v>
      </c>
      <c r="S19" s="107" t="e">
        <f>R19+#REF!</f>
        <v>#REF!</v>
      </c>
      <c r="T19" s="108">
        <f t="shared" si="2"/>
        <v>-106445.09634890425</v>
      </c>
      <c r="U19" s="109">
        <f t="shared" si="0"/>
        <v>0.82870819474748814</v>
      </c>
      <c r="V19" s="110">
        <f t="shared" si="9"/>
        <v>0.14676298828642143</v>
      </c>
      <c r="W19" s="111">
        <f t="shared" si="3"/>
        <v>1141.0334475376017</v>
      </c>
      <c r="X19" s="112">
        <f>W19/M$2</f>
        <v>0.45641337901504064</v>
      </c>
    </row>
    <row r="20" spans="1:24" x14ac:dyDescent="0.3">
      <c r="A20" s="93"/>
      <c r="B20" s="94">
        <f t="shared" si="10"/>
        <v>0.1</v>
      </c>
      <c r="C20" s="95">
        <v>15</v>
      </c>
      <c r="D20" s="96">
        <v>39</v>
      </c>
      <c r="E20" s="97">
        <v>2033</v>
      </c>
      <c r="F20" s="98">
        <f t="shared" si="13"/>
        <v>20000</v>
      </c>
      <c r="G20" s="98">
        <f t="shared" si="4"/>
        <v>300000</v>
      </c>
      <c r="H20" s="98"/>
      <c r="I20" s="99">
        <f t="shared" si="5"/>
        <v>0</v>
      </c>
      <c r="J20" s="100">
        <f t="shared" si="14"/>
        <v>63142.550364266965</v>
      </c>
      <c r="K20" s="101"/>
      <c r="L20" s="102">
        <f t="shared" si="6"/>
        <v>393092.76400693669</v>
      </c>
      <c r="M20" s="103">
        <f t="shared" si="7"/>
        <v>0</v>
      </c>
      <c r="N20" s="104">
        <f t="shared" si="1"/>
        <v>0</v>
      </c>
      <c r="O20" s="105">
        <f t="shared" si="15"/>
        <v>704568.05400693661</v>
      </c>
      <c r="P20" s="106">
        <f t="shared" si="11"/>
        <v>311475</v>
      </c>
      <c r="Q20" s="106">
        <f t="shared" si="8"/>
        <v>393092.76400693669</v>
      </c>
      <c r="R20" s="107">
        <f t="shared" si="12"/>
        <v>587478.44802314183</v>
      </c>
      <c r="S20" s="107" t="e">
        <f>R20+#REF!</f>
        <v>#REF!</v>
      </c>
      <c r="T20" s="108">
        <f t="shared" si="2"/>
        <v>-117089.60598379478</v>
      </c>
      <c r="U20" s="109">
        <f t="shared" si="0"/>
        <v>0.83381363188708801</v>
      </c>
      <c r="V20" s="110">
        <f t="shared" si="9"/>
        <v>0.14077825040054504</v>
      </c>
      <c r="W20" s="111">
        <f t="shared" si="3"/>
        <v>1296.7154381246949</v>
      </c>
      <c r="X20" s="112">
        <f>W20/M$2</f>
        <v>0.51868617524987792</v>
      </c>
    </row>
    <row r="21" spans="1:24" x14ac:dyDescent="0.3">
      <c r="A21" s="113"/>
      <c r="B21" s="114">
        <f t="shared" si="10"/>
        <v>0.1</v>
      </c>
      <c r="C21" s="115">
        <v>16</v>
      </c>
      <c r="D21" s="116">
        <v>40</v>
      </c>
      <c r="E21" s="117">
        <v>2034</v>
      </c>
      <c r="F21" s="118">
        <f t="shared" si="13"/>
        <v>20000</v>
      </c>
      <c r="G21" s="98">
        <f t="shared" si="4"/>
        <v>320000</v>
      </c>
      <c r="H21" s="119"/>
      <c r="I21" s="120">
        <f t="shared" si="5"/>
        <v>0</v>
      </c>
      <c r="J21" s="121">
        <f t="shared" si="14"/>
        <v>71456.805400693658</v>
      </c>
      <c r="K21" s="102"/>
      <c r="L21" s="102">
        <f t="shared" si="6"/>
        <v>464549.56940763036</v>
      </c>
      <c r="M21" s="122">
        <f t="shared" si="7"/>
        <v>0</v>
      </c>
      <c r="N21" s="123">
        <f t="shared" si="1"/>
        <v>0</v>
      </c>
      <c r="O21" s="124">
        <f t="shared" si="15"/>
        <v>796024.85940763028</v>
      </c>
      <c r="P21" s="125">
        <f t="shared" si="11"/>
        <v>331475</v>
      </c>
      <c r="Q21" s="125">
        <f>IF(K21=0,J21+Q20,K21+Q20)</f>
        <v>464549.56940763036</v>
      </c>
      <c r="R21" s="126">
        <f t="shared" si="12"/>
        <v>667226.29282545601</v>
      </c>
      <c r="S21" s="126" t="e">
        <f>R21+#REF!</f>
        <v>#REF!</v>
      </c>
      <c r="T21" s="127">
        <f t="shared" si="2"/>
        <v>-128798.56658217427</v>
      </c>
      <c r="U21" s="128">
        <f t="shared" si="0"/>
        <v>0.8381978086990638</v>
      </c>
      <c r="V21" s="129">
        <f t="shared" si="9"/>
        <v>0.13574599216475902</v>
      </c>
      <c r="W21" s="130">
        <f t="shared" si="3"/>
        <v>1467.9656277704978</v>
      </c>
      <c r="X21" s="131">
        <f>W21/M$2</f>
        <v>0.58718625110819911</v>
      </c>
    </row>
    <row r="22" spans="1:24" x14ac:dyDescent="0.3">
      <c r="A22" s="93"/>
      <c r="B22" s="94">
        <f t="shared" si="10"/>
        <v>0.1</v>
      </c>
      <c r="C22" s="95">
        <v>17</v>
      </c>
      <c r="D22" s="96">
        <v>41</v>
      </c>
      <c r="E22" s="97">
        <v>2035</v>
      </c>
      <c r="F22" s="98">
        <f t="shared" si="13"/>
        <v>20000</v>
      </c>
      <c r="G22" s="98">
        <f t="shared" si="4"/>
        <v>340000</v>
      </c>
      <c r="H22" s="98"/>
      <c r="I22" s="99">
        <f t="shared" si="5"/>
        <v>0</v>
      </c>
      <c r="J22" s="100">
        <f t="shared" si="14"/>
        <v>80602.485940763028</v>
      </c>
      <c r="K22" s="101"/>
      <c r="L22" s="102">
        <f t="shared" si="6"/>
        <v>545152.05534839339</v>
      </c>
      <c r="M22" s="103">
        <f t="shared" si="7"/>
        <v>0</v>
      </c>
      <c r="N22" s="104">
        <f t="shared" si="1"/>
        <v>0</v>
      </c>
      <c r="O22" s="105">
        <f t="shared" si="15"/>
        <v>896627.34534839331</v>
      </c>
      <c r="P22" s="106">
        <f t="shared" si="11"/>
        <v>351475</v>
      </c>
      <c r="Q22" s="106">
        <f t="shared" si="8"/>
        <v>545152.05534839339</v>
      </c>
      <c r="R22" s="107">
        <f t="shared" si="12"/>
        <v>754948.92210800166</v>
      </c>
      <c r="S22" s="107" t="e">
        <f>R22+#REF!</f>
        <v>#REF!</v>
      </c>
      <c r="T22" s="108">
        <f t="shared" si="2"/>
        <v>-141678.42324039165</v>
      </c>
      <c r="U22" s="109">
        <f t="shared" si="0"/>
        <v>0.84198739423306224</v>
      </c>
      <c r="V22" s="110">
        <f t="shared" si="9"/>
        <v>0.1314735798421145</v>
      </c>
      <c r="W22" s="111">
        <f t="shared" si="3"/>
        <v>1656.340836380881</v>
      </c>
      <c r="X22" s="112">
        <f>W22/M$2</f>
        <v>0.66253633455235239</v>
      </c>
    </row>
    <row r="23" spans="1:24" x14ac:dyDescent="0.3">
      <c r="A23" s="93"/>
      <c r="B23" s="94">
        <f t="shared" si="10"/>
        <v>0.1</v>
      </c>
      <c r="C23" s="95">
        <v>18</v>
      </c>
      <c r="D23" s="96">
        <v>42</v>
      </c>
      <c r="E23" s="97">
        <v>2036</v>
      </c>
      <c r="F23" s="98">
        <f t="shared" si="13"/>
        <v>20000</v>
      </c>
      <c r="G23" s="98">
        <f t="shared" si="4"/>
        <v>360000</v>
      </c>
      <c r="H23" s="98"/>
      <c r="I23" s="99">
        <f t="shared" si="5"/>
        <v>0</v>
      </c>
      <c r="J23" s="100">
        <f t="shared" si="14"/>
        <v>90662.734534839343</v>
      </c>
      <c r="K23" s="101"/>
      <c r="L23" s="102">
        <f t="shared" si="6"/>
        <v>635814.78988323268</v>
      </c>
      <c r="M23" s="103">
        <f t="shared" si="7"/>
        <v>0</v>
      </c>
      <c r="N23" s="104">
        <f t="shared" si="1"/>
        <v>0</v>
      </c>
      <c r="O23" s="105">
        <f t="shared" si="15"/>
        <v>1007290.0798832327</v>
      </c>
      <c r="P23" s="106">
        <f t="shared" si="11"/>
        <v>371475</v>
      </c>
      <c r="Q23" s="106">
        <f t="shared" si="8"/>
        <v>635814.78988323268</v>
      </c>
      <c r="R23" s="107">
        <f t="shared" si="12"/>
        <v>851443.81431880186</v>
      </c>
      <c r="S23" s="107" t="e">
        <f>R23+#REF!</f>
        <v>#REF!</v>
      </c>
      <c r="T23" s="108">
        <f t="shared" si="2"/>
        <v>-155846.26556443085</v>
      </c>
      <c r="U23" s="109">
        <f t="shared" si="0"/>
        <v>0.8452816436130326</v>
      </c>
      <c r="V23" s="110">
        <f t="shared" si="9"/>
        <v>0.12781645139827869</v>
      </c>
      <c r="W23" s="111">
        <f t="shared" si="3"/>
        <v>1863.5535658523024</v>
      </c>
      <c r="X23" s="112">
        <f>W23/M$2</f>
        <v>0.74542142634092101</v>
      </c>
    </row>
    <row r="24" spans="1:24" x14ac:dyDescent="0.3">
      <c r="A24" s="93"/>
      <c r="B24" s="94">
        <f t="shared" si="10"/>
        <v>0.1</v>
      </c>
      <c r="C24" s="95">
        <v>19</v>
      </c>
      <c r="D24" s="96">
        <v>43</v>
      </c>
      <c r="E24" s="97">
        <v>2037</v>
      </c>
      <c r="F24" s="98">
        <f t="shared" si="13"/>
        <v>20000</v>
      </c>
      <c r="G24" s="98">
        <f t="shared" si="4"/>
        <v>380000</v>
      </c>
      <c r="H24" s="98"/>
      <c r="I24" s="99">
        <f t="shared" si="5"/>
        <v>0</v>
      </c>
      <c r="J24" s="100">
        <f t="shared" si="14"/>
        <v>101729.00798832328</v>
      </c>
      <c r="K24" s="101"/>
      <c r="L24" s="102">
        <f t="shared" si="6"/>
        <v>737543.7978715559</v>
      </c>
      <c r="M24" s="103">
        <f t="shared" si="7"/>
        <v>0</v>
      </c>
      <c r="N24" s="104">
        <f t="shared" si="1"/>
        <v>0</v>
      </c>
      <c r="O24" s="105">
        <f t="shared" si="15"/>
        <v>1129019.0878715559</v>
      </c>
      <c r="P24" s="106">
        <f t="shared" si="11"/>
        <v>391475</v>
      </c>
      <c r="Q24" s="106">
        <f t="shared" si="8"/>
        <v>737543.7978715559</v>
      </c>
      <c r="R24" s="107">
        <f t="shared" si="12"/>
        <v>957588.19575068203</v>
      </c>
      <c r="S24" s="107" t="e">
        <f>R24+#REF!</f>
        <v>#REF!</v>
      </c>
      <c r="T24" s="108">
        <f t="shared" si="2"/>
        <v>-171430.8921208739</v>
      </c>
      <c r="U24" s="109">
        <f t="shared" si="0"/>
        <v>0.84815943861138965</v>
      </c>
      <c r="V24" s="110">
        <f t="shared" si="9"/>
        <v>0.12466398797764611</v>
      </c>
      <c r="W24" s="111">
        <f t="shared" si="3"/>
        <v>2091.4875682708657</v>
      </c>
      <c r="X24" s="112">
        <f>W24/M$2</f>
        <v>0.83659502730834634</v>
      </c>
    </row>
    <row r="25" spans="1:24" x14ac:dyDescent="0.3">
      <c r="A25" s="93"/>
      <c r="B25" s="94">
        <f t="shared" si="10"/>
        <v>0.1</v>
      </c>
      <c r="C25" s="95">
        <v>20</v>
      </c>
      <c r="D25" s="96">
        <v>44</v>
      </c>
      <c r="E25" s="97">
        <v>2038</v>
      </c>
      <c r="F25" s="98">
        <f t="shared" si="13"/>
        <v>20000</v>
      </c>
      <c r="G25" s="98">
        <f t="shared" si="4"/>
        <v>400000</v>
      </c>
      <c r="H25" s="98"/>
      <c r="I25" s="99">
        <f t="shared" si="5"/>
        <v>0</v>
      </c>
      <c r="J25" s="100">
        <f t="shared" si="14"/>
        <v>113901.9087871556</v>
      </c>
      <c r="K25" s="101"/>
      <c r="L25" s="102">
        <f t="shared" si="6"/>
        <v>851445.70665871154</v>
      </c>
      <c r="M25" s="103">
        <f t="shared" si="7"/>
        <v>0</v>
      </c>
      <c r="N25" s="104">
        <f t="shared" si="1"/>
        <v>0</v>
      </c>
      <c r="O25" s="105">
        <f t="shared" si="15"/>
        <v>1262920.9966587115</v>
      </c>
      <c r="P25" s="106">
        <f t="shared" si="11"/>
        <v>411475</v>
      </c>
      <c r="Q25" s="106">
        <f t="shared" si="8"/>
        <v>851445.70665871154</v>
      </c>
      <c r="R25" s="107">
        <f t="shared" si="12"/>
        <v>1074347.0153257502</v>
      </c>
      <c r="S25" s="107" t="e">
        <f>R25+#REF!</f>
        <v>#REF!</v>
      </c>
      <c r="T25" s="108">
        <f t="shared" si="2"/>
        <v>-188573.98133296124</v>
      </c>
      <c r="U25" s="109">
        <f t="shared" si="0"/>
        <v>0.85068426146063914</v>
      </c>
      <c r="V25" s="110">
        <f t="shared" si="9"/>
        <v>0.12193009489171636</v>
      </c>
      <c r="W25" s="111">
        <f t="shared" si="3"/>
        <v>2342.2149709312857</v>
      </c>
      <c r="X25" s="112">
        <f>W25/M$2</f>
        <v>0.93688598837251424</v>
      </c>
    </row>
    <row r="26" spans="1:24" x14ac:dyDescent="0.3">
      <c r="A26" s="113"/>
      <c r="B26" s="114">
        <f t="shared" si="10"/>
        <v>0.1</v>
      </c>
      <c r="C26" s="115">
        <v>21</v>
      </c>
      <c r="D26" s="116">
        <v>45</v>
      </c>
      <c r="E26" s="117">
        <v>2039</v>
      </c>
      <c r="F26" s="118">
        <f t="shared" si="13"/>
        <v>20000</v>
      </c>
      <c r="G26" s="98">
        <f t="shared" si="4"/>
        <v>420000</v>
      </c>
      <c r="H26" s="119"/>
      <c r="I26" s="120">
        <f t="shared" si="5"/>
        <v>0</v>
      </c>
      <c r="J26" s="121">
        <f t="shared" si="14"/>
        <v>127292.09966587115</v>
      </c>
      <c r="K26" s="102"/>
      <c r="L26" s="102">
        <f t="shared" si="6"/>
        <v>978737.80632458266</v>
      </c>
      <c r="M26" s="122">
        <f t="shared" si="7"/>
        <v>0</v>
      </c>
      <c r="N26" s="123">
        <f t="shared" si="1"/>
        <v>0</v>
      </c>
      <c r="O26" s="124">
        <f t="shared" si="15"/>
        <v>1410213.0963245826</v>
      </c>
      <c r="P26" s="125">
        <f t="shared" si="11"/>
        <v>431475</v>
      </c>
      <c r="Q26" s="125">
        <f t="shared" si="8"/>
        <v>978737.80632458266</v>
      </c>
      <c r="R26" s="126">
        <f t="shared" si="12"/>
        <v>1202781.7168583253</v>
      </c>
      <c r="S26" s="126" t="e">
        <f>R26+#REF!</f>
        <v>#REF!</v>
      </c>
      <c r="T26" s="127">
        <f t="shared" si="2"/>
        <v>-207431.37946625729</v>
      </c>
      <c r="U26" s="128">
        <f t="shared" si="0"/>
        <v>0.85290777684104435</v>
      </c>
      <c r="V26" s="129">
        <f t="shared" si="9"/>
        <v>0.11954675696067585</v>
      </c>
      <c r="W26" s="130">
        <f t="shared" si="3"/>
        <v>2618.015113857748</v>
      </c>
      <c r="X26" s="131">
        <f>W26/M$2</f>
        <v>1.0472060455430992</v>
      </c>
    </row>
    <row r="27" spans="1:24" x14ac:dyDescent="0.3">
      <c r="A27" s="93"/>
      <c r="B27" s="94">
        <f t="shared" si="10"/>
        <v>0.1</v>
      </c>
      <c r="C27" s="95">
        <v>22</v>
      </c>
      <c r="D27" s="96">
        <v>46</v>
      </c>
      <c r="E27" s="97">
        <v>2040</v>
      </c>
      <c r="F27" s="98">
        <f t="shared" si="13"/>
        <v>20000</v>
      </c>
      <c r="G27" s="98">
        <f t="shared" si="4"/>
        <v>440000</v>
      </c>
      <c r="H27" s="98"/>
      <c r="I27" s="99">
        <f t="shared" si="5"/>
        <v>0</v>
      </c>
      <c r="J27" s="100">
        <f t="shared" si="14"/>
        <v>142021.30963245826</v>
      </c>
      <c r="K27" s="101"/>
      <c r="L27" s="102">
        <f t="shared" si="6"/>
        <v>1120759.1159570408</v>
      </c>
      <c r="M27" s="103">
        <f t="shared" si="7"/>
        <v>0</v>
      </c>
      <c r="N27" s="104">
        <f t="shared" si="1"/>
        <v>0</v>
      </c>
      <c r="O27" s="105">
        <f t="shared" si="15"/>
        <v>1572234.4059570408</v>
      </c>
      <c r="P27" s="106">
        <f t="shared" si="11"/>
        <v>451475</v>
      </c>
      <c r="Q27" s="106">
        <f t="shared" si="8"/>
        <v>1120759.1159570408</v>
      </c>
      <c r="R27" s="107">
        <f t="shared" si="12"/>
        <v>1344059.8885441578</v>
      </c>
      <c r="S27" s="107" t="e">
        <f>R27+#REF!</f>
        <v>#REF!</v>
      </c>
      <c r="T27" s="108">
        <f t="shared" si="2"/>
        <v>-228174.517412883</v>
      </c>
      <c r="U27" s="109">
        <f t="shared" si="0"/>
        <v>0.85487245632817077</v>
      </c>
      <c r="V27" s="110">
        <f t="shared" si="9"/>
        <v>0.11745952711590268</v>
      </c>
      <c r="W27" s="111">
        <f t="shared" si="3"/>
        <v>2921.3952710768558</v>
      </c>
      <c r="X27" s="112">
        <f>W27/M$2</f>
        <v>1.1685581084307424</v>
      </c>
    </row>
    <row r="28" spans="1:24" x14ac:dyDescent="0.3">
      <c r="A28" s="93"/>
      <c r="B28" s="94">
        <f t="shared" si="10"/>
        <v>0.1</v>
      </c>
      <c r="C28" s="95">
        <v>23</v>
      </c>
      <c r="D28" s="96">
        <v>47</v>
      </c>
      <c r="E28" s="97">
        <v>2041</v>
      </c>
      <c r="F28" s="98">
        <f t="shared" si="13"/>
        <v>20000</v>
      </c>
      <c r="G28" s="98">
        <f t="shared" si="4"/>
        <v>460000</v>
      </c>
      <c r="H28" s="98"/>
      <c r="I28" s="99">
        <f t="shared" si="5"/>
        <v>0</v>
      </c>
      <c r="J28" s="100">
        <f t="shared" si="14"/>
        <v>158223.4405957041</v>
      </c>
      <c r="K28" s="101"/>
      <c r="L28" s="102">
        <f t="shared" si="6"/>
        <v>1278982.5565527449</v>
      </c>
      <c r="M28" s="103">
        <f t="shared" si="7"/>
        <v>0</v>
      </c>
      <c r="N28" s="104">
        <f t="shared" si="1"/>
        <v>0</v>
      </c>
      <c r="O28" s="105">
        <f t="shared" si="15"/>
        <v>1750457.846552745</v>
      </c>
      <c r="P28" s="106">
        <f t="shared" si="11"/>
        <v>471475</v>
      </c>
      <c r="Q28" s="106">
        <f t="shared" si="8"/>
        <v>1278982.5565527449</v>
      </c>
      <c r="R28" s="107">
        <f t="shared" si="12"/>
        <v>1499465.8773985736</v>
      </c>
      <c r="S28" s="107" t="e">
        <f>R28+#REF!</f>
        <v>#REF!</v>
      </c>
      <c r="T28" s="108">
        <f t="shared" si="2"/>
        <v>-250991.96915417141</v>
      </c>
      <c r="U28" s="109">
        <f t="shared" si="0"/>
        <v>0.85661353134069407</v>
      </c>
      <c r="V28" s="110">
        <f t="shared" si="9"/>
        <v>0.11562430378213762</v>
      </c>
      <c r="W28" s="111">
        <f t="shared" si="3"/>
        <v>3255.1134440178753</v>
      </c>
      <c r="X28" s="112">
        <f>W28/M$2</f>
        <v>1.3020453776071501</v>
      </c>
    </row>
    <row r="29" spans="1:24" x14ac:dyDescent="0.3">
      <c r="A29" s="93"/>
      <c r="B29" s="94">
        <f t="shared" si="10"/>
        <v>0.1</v>
      </c>
      <c r="C29" s="95">
        <v>24</v>
      </c>
      <c r="D29" s="96">
        <v>48</v>
      </c>
      <c r="E29" s="97">
        <v>2042</v>
      </c>
      <c r="F29" s="98">
        <f t="shared" si="13"/>
        <v>20000</v>
      </c>
      <c r="G29" s="98">
        <f t="shared" si="4"/>
        <v>480000</v>
      </c>
      <c r="H29" s="98"/>
      <c r="I29" s="99">
        <f t="shared" si="5"/>
        <v>0</v>
      </c>
      <c r="J29" s="100">
        <f t="shared" si="14"/>
        <v>176045.7846552745</v>
      </c>
      <c r="K29" s="101"/>
      <c r="L29" s="102">
        <f t="shared" si="6"/>
        <v>1455028.3412080195</v>
      </c>
      <c r="M29" s="103">
        <f t="shared" si="7"/>
        <v>0</v>
      </c>
      <c r="N29" s="104">
        <f t="shared" si="1"/>
        <v>0</v>
      </c>
      <c r="O29" s="105">
        <f t="shared" si="15"/>
        <v>1946503.6312080196</v>
      </c>
      <c r="P29" s="106">
        <f t="shared" si="11"/>
        <v>491475</v>
      </c>
      <c r="Q29" s="106">
        <f t="shared" si="8"/>
        <v>1455028.3412080195</v>
      </c>
      <c r="R29" s="107">
        <f t="shared" si="12"/>
        <v>1670412.4651384309</v>
      </c>
      <c r="S29" s="107" t="e">
        <f>R29+#REF!</f>
        <v>#REF!</v>
      </c>
      <c r="T29" s="108">
        <f t="shared" si="2"/>
        <v>-276091.16606958862</v>
      </c>
      <c r="U29" s="109">
        <f t="shared" si="0"/>
        <v>0.8581604669813826</v>
      </c>
      <c r="V29" s="110">
        <f t="shared" si="9"/>
        <v>0.11400498692003103</v>
      </c>
      <c r="W29" s="111">
        <f t="shared" si="3"/>
        <v>3622.2034342529955</v>
      </c>
      <c r="X29" s="112">
        <f>W29/M$2</f>
        <v>1.4488813737011983</v>
      </c>
    </row>
    <row r="30" spans="1:24" x14ac:dyDescent="0.3">
      <c r="A30" s="93"/>
      <c r="B30" s="94">
        <f t="shared" si="10"/>
        <v>0.1</v>
      </c>
      <c r="C30" s="95">
        <v>25</v>
      </c>
      <c r="D30" s="96">
        <v>49</v>
      </c>
      <c r="E30" s="97">
        <v>2043</v>
      </c>
      <c r="F30" s="98">
        <f t="shared" si="13"/>
        <v>20000</v>
      </c>
      <c r="G30" s="98">
        <f t="shared" si="4"/>
        <v>500000</v>
      </c>
      <c r="H30" s="98"/>
      <c r="I30" s="99">
        <f t="shared" si="5"/>
        <v>0</v>
      </c>
      <c r="J30" s="100">
        <f t="shared" si="14"/>
        <v>195650.36312080198</v>
      </c>
      <c r="K30" s="101"/>
      <c r="L30" s="102">
        <f t="shared" si="6"/>
        <v>1650678.7043288215</v>
      </c>
      <c r="M30" s="103">
        <f t="shared" si="7"/>
        <v>0</v>
      </c>
      <c r="N30" s="104">
        <f t="shared" si="1"/>
        <v>0</v>
      </c>
      <c r="O30" s="105">
        <f t="shared" si="15"/>
        <v>2162153.9943288215</v>
      </c>
      <c r="P30" s="106">
        <f t="shared" si="11"/>
        <v>511475</v>
      </c>
      <c r="Q30" s="106">
        <f t="shared" si="8"/>
        <v>1650678.7043288215</v>
      </c>
      <c r="R30" s="107">
        <f t="shared" si="12"/>
        <v>1858453.711652274</v>
      </c>
      <c r="S30" s="107" t="e">
        <f>R30+#REF!</f>
        <v>#REF!</v>
      </c>
      <c r="T30" s="108">
        <f t="shared" si="2"/>
        <v>-303700.28267654753</v>
      </c>
      <c r="U30" s="109">
        <f t="shared" si="0"/>
        <v>0.85953808864996106</v>
      </c>
      <c r="V30" s="110">
        <f t="shared" si="9"/>
        <v>0.1125717452654782</v>
      </c>
      <c r="W30" s="111">
        <f t="shared" si="3"/>
        <v>4026.0024235116289</v>
      </c>
      <c r="X30" s="112">
        <f>W30/M$2</f>
        <v>1.6104009694046515</v>
      </c>
    </row>
    <row r="31" spans="1:24" x14ac:dyDescent="0.3">
      <c r="A31" s="93"/>
      <c r="B31" s="114">
        <f t="shared" si="10"/>
        <v>0.1</v>
      </c>
      <c r="C31" s="115">
        <v>26</v>
      </c>
      <c r="D31" s="116">
        <v>50</v>
      </c>
      <c r="E31" s="117">
        <v>2044</v>
      </c>
      <c r="F31" s="118">
        <f t="shared" si="13"/>
        <v>20000</v>
      </c>
      <c r="G31" s="98">
        <f t="shared" si="4"/>
        <v>520000</v>
      </c>
      <c r="H31" s="119"/>
      <c r="I31" s="120">
        <f t="shared" si="5"/>
        <v>0</v>
      </c>
      <c r="J31" s="121">
        <f t="shared" si="14"/>
        <v>217215.39943288217</v>
      </c>
      <c r="K31" s="102"/>
      <c r="L31" s="102">
        <f t="shared" si="6"/>
        <v>1867894.1037617037</v>
      </c>
      <c r="M31" s="122">
        <f t="shared" si="7"/>
        <v>0</v>
      </c>
      <c r="N31" s="123">
        <f t="shared" si="1"/>
        <v>0</v>
      </c>
      <c r="O31" s="124">
        <f t="shared" si="15"/>
        <v>2399369.3937617037</v>
      </c>
      <c r="P31" s="125">
        <f t="shared" si="11"/>
        <v>531475</v>
      </c>
      <c r="Q31" s="125">
        <f t="shared" si="8"/>
        <v>1867894.1037617037</v>
      </c>
      <c r="R31" s="126">
        <f t="shared" si="12"/>
        <v>2065299.0828175014</v>
      </c>
      <c r="S31" s="126" t="e">
        <f>R31+#REF!</f>
        <v>#REF!</v>
      </c>
      <c r="T31" s="127">
        <f t="shared" si="2"/>
        <v>-334070.31094420236</v>
      </c>
      <c r="U31" s="128">
        <f t="shared" si="0"/>
        <v>0.8607674533930556</v>
      </c>
      <c r="V31" s="129">
        <f t="shared" si="9"/>
        <v>0.11129971646231085</v>
      </c>
      <c r="W31" s="130">
        <f t="shared" si="3"/>
        <v>4470.1813116961248</v>
      </c>
      <c r="X31" s="131">
        <f>W31/M$2</f>
        <v>1.7880725246784499</v>
      </c>
    </row>
    <row r="32" spans="1:24" x14ac:dyDescent="0.3">
      <c r="A32" s="93"/>
      <c r="B32" s="94">
        <f t="shared" si="10"/>
        <v>0.1</v>
      </c>
      <c r="C32" s="95">
        <v>27</v>
      </c>
      <c r="D32" s="96">
        <v>51</v>
      </c>
      <c r="E32" s="97">
        <v>2045</v>
      </c>
      <c r="F32" s="98">
        <f t="shared" si="13"/>
        <v>20000</v>
      </c>
      <c r="G32" s="98">
        <f t="shared" si="4"/>
        <v>540000</v>
      </c>
      <c r="H32" s="98"/>
      <c r="I32" s="99">
        <f t="shared" si="5"/>
        <v>0</v>
      </c>
      <c r="J32" s="100">
        <f>(O31+F32/2)*B32</f>
        <v>240936.9393761704</v>
      </c>
      <c r="K32" s="101"/>
      <c r="L32" s="102">
        <f t="shared" si="6"/>
        <v>2108831.043137874</v>
      </c>
      <c r="M32" s="103">
        <f t="shared" si="7"/>
        <v>0</v>
      </c>
      <c r="N32" s="104">
        <f t="shared" si="1"/>
        <v>0</v>
      </c>
      <c r="O32" s="105">
        <f t="shared" si="15"/>
        <v>2660306.333137874</v>
      </c>
      <c r="P32" s="106">
        <f t="shared" si="11"/>
        <v>551475</v>
      </c>
      <c r="Q32" s="106">
        <f t="shared" si="8"/>
        <v>2108831.043137874</v>
      </c>
      <c r="R32" s="107">
        <f>IF(AND(H32=0,K32=0),(R31+F32)+(R31+F32/2)*B32,R31+H32+K32)</f>
        <v>2292828.9910992514</v>
      </c>
      <c r="S32" s="107" t="e">
        <f>R32+#REF!</f>
        <v>#REF!</v>
      </c>
      <c r="T32" s="108">
        <f t="shared" si="2"/>
        <v>-367477.34203862259</v>
      </c>
      <c r="U32" s="109">
        <f t="shared" si="0"/>
        <v>0.86186653113546619</v>
      </c>
      <c r="V32" s="110">
        <f t="shared" si="9"/>
        <v>0.11016801884759064</v>
      </c>
      <c r="W32" s="111">
        <f t="shared" si="3"/>
        <v>4958.7780886990704</v>
      </c>
      <c r="X32" s="112">
        <f>W32/M$2</f>
        <v>1.9835112354796283</v>
      </c>
    </row>
    <row r="33" spans="1:24" x14ac:dyDescent="0.3">
      <c r="A33" s="93"/>
      <c r="B33" s="94">
        <f t="shared" si="10"/>
        <v>0.1</v>
      </c>
      <c r="C33" s="95">
        <v>28</v>
      </c>
      <c r="D33" s="96">
        <v>52</v>
      </c>
      <c r="E33" s="97">
        <v>2046</v>
      </c>
      <c r="F33" s="98">
        <f t="shared" si="13"/>
        <v>20000</v>
      </c>
      <c r="G33" s="98">
        <f t="shared" si="4"/>
        <v>560000</v>
      </c>
      <c r="H33" s="98"/>
      <c r="I33" s="99">
        <f t="shared" si="5"/>
        <v>0</v>
      </c>
      <c r="J33" s="100">
        <f>(O32+F33/2)*B33</f>
        <v>267030.6333137874</v>
      </c>
      <c r="K33" s="101"/>
      <c r="L33" s="102">
        <f t="shared" si="6"/>
        <v>2375861.6764516616</v>
      </c>
      <c r="M33" s="103">
        <f t="shared" si="7"/>
        <v>0</v>
      </c>
      <c r="N33" s="104">
        <f t="shared" si="1"/>
        <v>0</v>
      </c>
      <c r="O33" s="105">
        <f t="shared" si="15"/>
        <v>2947336.9664516617</v>
      </c>
      <c r="P33" s="106">
        <f t="shared" si="11"/>
        <v>571475</v>
      </c>
      <c r="Q33" s="106">
        <f t="shared" si="8"/>
        <v>2375861.6764516616</v>
      </c>
      <c r="R33" s="107">
        <f>IF(AND(H33=0,K33=0),(R32+F33)+(R32+F33/2)*B33,R32+H33+K33)</f>
        <v>2543111.8902091766</v>
      </c>
      <c r="S33" s="107" t="e">
        <f>R33+#REF!</f>
        <v>#REF!</v>
      </c>
      <c r="T33" s="108">
        <f t="shared" si="2"/>
        <v>-404225.07624248508</v>
      </c>
      <c r="U33" s="109">
        <f t="shared" si="0"/>
        <v>0.86285074260472594</v>
      </c>
      <c r="V33" s="110">
        <f t="shared" si="9"/>
        <v>0.10915899095899517</v>
      </c>
      <c r="W33" s="111">
        <f t="shared" si="3"/>
        <v>5496.2345434023109</v>
      </c>
      <c r="X33" s="112">
        <f>W33/M$2</f>
        <v>2.1984938173609243</v>
      </c>
    </row>
    <row r="34" spans="1:24" x14ac:dyDescent="0.3">
      <c r="A34" s="93"/>
      <c r="B34" s="94">
        <f t="shared" si="10"/>
        <v>0.1</v>
      </c>
      <c r="C34" s="95">
        <v>29</v>
      </c>
      <c r="D34" s="96">
        <v>53</v>
      </c>
      <c r="E34" s="97">
        <v>2047</v>
      </c>
      <c r="F34" s="98">
        <f t="shared" si="13"/>
        <v>20000</v>
      </c>
      <c r="G34" s="98">
        <f t="shared" si="4"/>
        <v>580000</v>
      </c>
      <c r="H34" s="98"/>
      <c r="I34" s="99">
        <f t="shared" si="5"/>
        <v>0</v>
      </c>
      <c r="J34" s="100">
        <f>(O33+F34/2)*B34</f>
        <v>295733.6966451662</v>
      </c>
      <c r="K34" s="101"/>
      <c r="L34" s="102">
        <f t="shared" si="6"/>
        <v>2671595.3730968279</v>
      </c>
      <c r="M34" s="103">
        <f t="shared" si="7"/>
        <v>0</v>
      </c>
      <c r="N34" s="104">
        <f t="shared" si="1"/>
        <v>0</v>
      </c>
      <c r="O34" s="105">
        <f t="shared" si="15"/>
        <v>3263070.6630968279</v>
      </c>
      <c r="P34" s="106">
        <f t="shared" si="11"/>
        <v>591475</v>
      </c>
      <c r="Q34" s="106">
        <f t="shared" si="8"/>
        <v>2671595.3730968279</v>
      </c>
      <c r="R34" s="107">
        <f>IF(AND(H34=0,K34=0),(R33+F34)+(R33+F34/2)*B34,R33+H34+K34)</f>
        <v>2818423.0792300943</v>
      </c>
      <c r="S34" s="107" t="e">
        <f>R34+#REF!</f>
        <v>#REF!</v>
      </c>
      <c r="T34" s="108">
        <f t="shared" si="2"/>
        <v>-444647.58386673359</v>
      </c>
      <c r="U34" s="109">
        <f t="shared" si="0"/>
        <v>0.86373338803373034</v>
      </c>
      <c r="V34" s="110">
        <f t="shared" si="9"/>
        <v>0.1082575997072126</v>
      </c>
      <c r="W34" s="111">
        <f t="shared" si="3"/>
        <v>6087.4366435758757</v>
      </c>
      <c r="X34" s="112">
        <f>W34/M$2</f>
        <v>2.4349746574303501</v>
      </c>
    </row>
    <row r="35" spans="1:24" x14ac:dyDescent="0.3">
      <c r="A35" s="93"/>
      <c r="B35" s="94">
        <f t="shared" si="10"/>
        <v>0.1</v>
      </c>
      <c r="C35" s="132">
        <v>30</v>
      </c>
      <c r="D35" s="133">
        <v>54</v>
      </c>
      <c r="E35" s="134">
        <v>2048</v>
      </c>
      <c r="F35" s="135">
        <f t="shared" si="13"/>
        <v>20000</v>
      </c>
      <c r="G35" s="135">
        <f t="shared" si="4"/>
        <v>600000</v>
      </c>
      <c r="H35" s="135"/>
      <c r="I35" s="136">
        <f t="shared" si="5"/>
        <v>0</v>
      </c>
      <c r="J35" s="137">
        <f>(O34+F35/2)*B35</f>
        <v>327307.06630968279</v>
      </c>
      <c r="K35" s="138"/>
      <c r="L35" s="138">
        <f t="shared" si="6"/>
        <v>2998902.4394065104</v>
      </c>
      <c r="M35" s="139">
        <f t="shared" si="7"/>
        <v>0</v>
      </c>
      <c r="N35" s="140">
        <f t="shared" si="1"/>
        <v>0</v>
      </c>
      <c r="O35" s="141">
        <f t="shared" si="15"/>
        <v>3610377.7294065105</v>
      </c>
      <c r="P35" s="142">
        <f t="shared" si="11"/>
        <v>611475</v>
      </c>
      <c r="Q35" s="142">
        <f t="shared" si="8"/>
        <v>2998902.4394065104</v>
      </c>
      <c r="R35" s="143">
        <f>IF(AND(H35=0,K35=0),(R34+F35)+(R34+F35/2)*B35,R34+H35+K35)</f>
        <v>3121265.3871531039</v>
      </c>
      <c r="S35" s="143" t="e">
        <f>R35+#REF!</f>
        <v>#REF!</v>
      </c>
      <c r="T35" s="144">
        <f t="shared" si="2"/>
        <v>-489112.34225340653</v>
      </c>
      <c r="U35" s="145">
        <f t="shared" si="0"/>
        <v>0.86452599176269318</v>
      </c>
      <c r="V35" s="146">
        <f t="shared" si="9"/>
        <v>0.10745097503449941</v>
      </c>
      <c r="W35" s="147">
        <f t="shared" si="3"/>
        <v>6737.7589537667964</v>
      </c>
      <c r="X35" s="148">
        <f>W35/M$2</f>
        <v>2.6951035815067184</v>
      </c>
    </row>
    <row r="36" spans="1:24" x14ac:dyDescent="0.3">
      <c r="A36" s="6"/>
      <c r="B36" s="15"/>
      <c r="C36" s="7"/>
      <c r="D36" s="7"/>
      <c r="E36" s="6"/>
      <c r="F36" s="6"/>
      <c r="G36" s="6"/>
      <c r="H36" s="18"/>
      <c r="I36" s="6"/>
      <c r="J36" s="7"/>
      <c r="K36" s="11"/>
      <c r="L36" s="11"/>
      <c r="M36" s="11"/>
      <c r="N36" s="11"/>
      <c r="O36" s="11"/>
      <c r="P36" s="12"/>
      <c r="Q36" s="12"/>
      <c r="R36" s="11"/>
      <c r="S36" s="11"/>
      <c r="T36" s="13"/>
      <c r="U36" s="14"/>
      <c r="V36" s="14"/>
      <c r="W36" s="16"/>
      <c r="X36" s="16"/>
    </row>
  </sheetData>
  <mergeCells count="3">
    <mergeCell ref="H1:I1"/>
    <mergeCell ref="M2:N2"/>
    <mergeCell ref="M3:N3"/>
  </mergeCells>
  <conditionalFormatting sqref="N6:N8 U6:U8 I6:I8 I10:I35 U10:U35 N10:N35">
    <cfRule type="cellIs" dxfId="3" priority="7" operator="between">
      <formula>1%</formula>
      <formula>99%</formula>
    </cfRule>
    <cfRule type="cellIs" dxfId="2" priority="8" operator="greaterThanOrEqual">
      <formula>100%</formula>
    </cfRule>
  </conditionalFormatting>
  <conditionalFormatting sqref="N9 U9 I9">
    <cfRule type="cellIs" dxfId="1" priority="3" operator="between">
      <formula>1%</formula>
      <formula>99%</formula>
    </cfRule>
    <cfRule type="cellIs" dxfId="0" priority="4" operator="greaterThanOrEqual">
      <formula>100%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D115-91BA-49FA-AED4-C3442D5751D2}">
  <dimension ref="B1:M27"/>
  <sheetViews>
    <sheetView zoomScale="90" zoomScaleNormal="90" workbookViewId="0">
      <selection activeCell="G30" sqref="G30"/>
    </sheetView>
  </sheetViews>
  <sheetFormatPr baseColWidth="10" defaultRowHeight="15.6" x14ac:dyDescent="0.3"/>
  <cols>
    <col min="1" max="1" width="1.69921875" customWidth="1"/>
    <col min="2" max="2" width="14.3984375" style="193" bestFit="1" customWidth="1"/>
    <col min="3" max="3" width="18.59765625" customWidth="1"/>
    <col min="4" max="4" width="11.69921875" bestFit="1" customWidth="1"/>
    <col min="5" max="5" width="11.69921875" customWidth="1"/>
    <col min="6" max="6" width="10.59765625" bestFit="1" customWidth="1"/>
    <col min="9" max="9" width="8.19921875" bestFit="1" customWidth="1"/>
    <col min="10" max="10" width="11.69921875" style="179" bestFit="1" customWidth="1"/>
    <col min="11" max="11" width="10.69921875" style="179" bestFit="1" customWidth="1"/>
    <col min="12" max="12" width="10.69921875" bestFit="1" customWidth="1"/>
    <col min="13" max="13" width="10.69921875" style="179" customWidth="1"/>
  </cols>
  <sheetData>
    <row r="1" spans="2:13" s="151" customFormat="1" ht="25.8" x14ac:dyDescent="0.5">
      <c r="B1" s="149" t="s">
        <v>21</v>
      </c>
      <c r="C1" s="150">
        <f>C2+C3</f>
        <v>0</v>
      </c>
      <c r="D1" s="149"/>
      <c r="E1" s="149"/>
      <c r="F1" s="149"/>
      <c r="G1" s="149"/>
    </row>
    <row r="2" spans="2:13" s="154" customFormat="1" ht="18" x14ac:dyDescent="0.35">
      <c r="B2" s="152" t="s">
        <v>22</v>
      </c>
      <c r="C2" s="153">
        <f>D22</f>
        <v>0</v>
      </c>
      <c r="J2" s="155"/>
      <c r="K2" s="155"/>
      <c r="M2" s="155"/>
    </row>
    <row r="3" spans="2:13" s="158" customFormat="1" ht="18.600000000000001" thickBot="1" x14ac:dyDescent="0.4">
      <c r="B3" s="156" t="s">
        <v>23</v>
      </c>
      <c r="C3" s="157">
        <f>G22</f>
        <v>0</v>
      </c>
      <c r="J3" s="159"/>
      <c r="K3" s="159"/>
      <c r="M3" s="159"/>
    </row>
    <row r="4" spans="2:13" ht="18" x14ac:dyDescent="0.35">
      <c r="B4" s="160"/>
      <c r="C4" s="161"/>
      <c r="J4" s="162"/>
      <c r="K4" s="162"/>
      <c r="M4" s="162"/>
    </row>
    <row r="5" spans="2:13" ht="18" x14ac:dyDescent="0.35">
      <c r="B5" s="163" t="s">
        <v>24</v>
      </c>
      <c r="C5" s="164">
        <f>24800+2700</f>
        <v>27500</v>
      </c>
      <c r="J5" s="162"/>
      <c r="K5" s="162"/>
      <c r="M5" s="162"/>
    </row>
    <row r="6" spans="2:13" x14ac:dyDescent="0.3">
      <c r="B6" s="165" t="s">
        <v>1</v>
      </c>
      <c r="C6" s="166">
        <f>400*12</f>
        <v>4800</v>
      </c>
      <c r="J6" s="162"/>
      <c r="K6" s="162"/>
      <c r="M6" s="162"/>
    </row>
    <row r="7" spans="2:13" x14ac:dyDescent="0.3">
      <c r="B7" s="165" t="s">
        <v>25</v>
      </c>
      <c r="C7" s="166">
        <f>C5-C6</f>
        <v>22700</v>
      </c>
      <c r="J7" s="162"/>
      <c r="K7" s="162"/>
      <c r="M7" s="162"/>
    </row>
    <row r="9" spans="2:13" ht="16.2" thickBot="1" x14ac:dyDescent="0.35">
      <c r="B9" s="167"/>
      <c r="C9" s="168" t="s">
        <v>26</v>
      </c>
      <c r="D9" s="168" t="s">
        <v>27</v>
      </c>
      <c r="E9" s="169" t="s">
        <v>10</v>
      </c>
      <c r="F9" s="170" t="s">
        <v>28</v>
      </c>
      <c r="G9" s="170" t="s">
        <v>29</v>
      </c>
      <c r="H9" s="171" t="s">
        <v>10</v>
      </c>
      <c r="I9" s="172"/>
      <c r="J9"/>
      <c r="K9"/>
      <c r="M9"/>
    </row>
    <row r="10" spans="2:13" x14ac:dyDescent="0.3">
      <c r="B10" s="173" t="s">
        <v>30</v>
      </c>
      <c r="C10" s="174">
        <f t="shared" ref="C10:C21" si="0">C$7/12</f>
        <v>1891.6666666666667</v>
      </c>
      <c r="D10" s="174">
        <v>0</v>
      </c>
      <c r="E10" s="175">
        <f t="shared" ref="E10:E22" si="1">D10/C10</f>
        <v>0</v>
      </c>
      <c r="F10" s="176">
        <v>400</v>
      </c>
      <c r="G10" s="176">
        <v>0</v>
      </c>
      <c r="H10" s="177">
        <f>G10/F10</f>
        <v>0</v>
      </c>
      <c r="I10" s="178"/>
      <c r="J10"/>
      <c r="K10"/>
      <c r="M10"/>
    </row>
    <row r="11" spans="2:13" x14ac:dyDescent="0.3">
      <c r="B11" s="173" t="s">
        <v>31</v>
      </c>
      <c r="C11" s="174">
        <f t="shared" si="0"/>
        <v>1891.6666666666667</v>
      </c>
      <c r="D11" s="174">
        <v>0</v>
      </c>
      <c r="E11" s="175">
        <f t="shared" si="1"/>
        <v>0</v>
      </c>
      <c r="F11" s="176">
        <v>400</v>
      </c>
      <c r="G11" s="176">
        <v>0</v>
      </c>
      <c r="H11" s="177">
        <f>G11/F11</f>
        <v>0</v>
      </c>
      <c r="I11" s="178"/>
      <c r="J11"/>
      <c r="K11"/>
      <c r="M11"/>
    </row>
    <row r="12" spans="2:13" x14ac:dyDescent="0.3">
      <c r="B12" s="173" t="s">
        <v>32</v>
      </c>
      <c r="C12" s="174">
        <f t="shared" si="0"/>
        <v>1891.6666666666667</v>
      </c>
      <c r="D12" s="174">
        <v>0</v>
      </c>
      <c r="E12" s="175">
        <f t="shared" si="1"/>
        <v>0</v>
      </c>
      <c r="F12" s="176">
        <v>400</v>
      </c>
      <c r="G12" s="176">
        <v>0</v>
      </c>
      <c r="H12" s="177">
        <f>G12/F12</f>
        <v>0</v>
      </c>
      <c r="I12" s="178"/>
      <c r="J12"/>
      <c r="K12"/>
      <c r="M12"/>
    </row>
    <row r="13" spans="2:13" x14ac:dyDescent="0.3">
      <c r="B13" s="173" t="s">
        <v>33</v>
      </c>
      <c r="C13" s="174">
        <f t="shared" si="0"/>
        <v>1891.6666666666667</v>
      </c>
      <c r="D13" s="174">
        <v>0</v>
      </c>
      <c r="E13" s="175">
        <f t="shared" si="1"/>
        <v>0</v>
      </c>
      <c r="F13" s="176">
        <v>400</v>
      </c>
      <c r="G13" s="176">
        <v>0</v>
      </c>
      <c r="H13" s="177">
        <f>G13/F13</f>
        <v>0</v>
      </c>
      <c r="I13" s="179"/>
      <c r="J13"/>
      <c r="K13"/>
      <c r="M13"/>
    </row>
    <row r="14" spans="2:13" x14ac:dyDescent="0.3">
      <c r="B14" s="173" t="s">
        <v>34</v>
      </c>
      <c r="C14" s="174">
        <f t="shared" si="0"/>
        <v>1891.6666666666667</v>
      </c>
      <c r="D14" s="174">
        <v>0</v>
      </c>
      <c r="E14" s="175">
        <f t="shared" si="1"/>
        <v>0</v>
      </c>
      <c r="F14" s="176">
        <v>400</v>
      </c>
      <c r="G14" s="176">
        <v>0</v>
      </c>
      <c r="H14" s="177">
        <f t="shared" ref="H14:H21" si="2">G14/F14</f>
        <v>0</v>
      </c>
      <c r="I14" s="180"/>
      <c r="J14"/>
      <c r="K14"/>
      <c r="M14"/>
    </row>
    <row r="15" spans="2:13" x14ac:dyDescent="0.3">
      <c r="B15" s="173" t="s">
        <v>35</v>
      </c>
      <c r="C15" s="174">
        <f t="shared" si="0"/>
        <v>1891.6666666666667</v>
      </c>
      <c r="D15" s="174">
        <v>0</v>
      </c>
      <c r="E15" s="175">
        <f t="shared" si="1"/>
        <v>0</v>
      </c>
      <c r="F15" s="176">
        <v>400</v>
      </c>
      <c r="G15" s="176">
        <v>0</v>
      </c>
      <c r="H15" s="177">
        <f t="shared" si="2"/>
        <v>0</v>
      </c>
      <c r="I15" s="178"/>
      <c r="J15"/>
      <c r="K15"/>
      <c r="M15"/>
    </row>
    <row r="16" spans="2:13" x14ac:dyDescent="0.3">
      <c r="B16" s="173" t="s">
        <v>36</v>
      </c>
      <c r="C16" s="174">
        <f t="shared" si="0"/>
        <v>1891.6666666666667</v>
      </c>
      <c r="D16" s="174">
        <v>0</v>
      </c>
      <c r="E16" s="175">
        <f t="shared" si="1"/>
        <v>0</v>
      </c>
      <c r="F16" s="176">
        <v>400</v>
      </c>
      <c r="G16" s="176">
        <v>0</v>
      </c>
      <c r="H16" s="177">
        <f t="shared" si="2"/>
        <v>0</v>
      </c>
      <c r="I16" s="178"/>
      <c r="J16"/>
      <c r="K16"/>
      <c r="M16"/>
    </row>
    <row r="17" spans="2:13" x14ac:dyDescent="0.3">
      <c r="B17" s="173" t="s">
        <v>37</v>
      </c>
      <c r="C17" s="174">
        <f t="shared" si="0"/>
        <v>1891.6666666666667</v>
      </c>
      <c r="D17" s="174">
        <v>0</v>
      </c>
      <c r="E17" s="175">
        <f t="shared" si="1"/>
        <v>0</v>
      </c>
      <c r="F17" s="176">
        <v>400</v>
      </c>
      <c r="G17" s="176">
        <v>0</v>
      </c>
      <c r="H17" s="177">
        <f t="shared" si="2"/>
        <v>0</v>
      </c>
      <c r="I17" s="178"/>
      <c r="J17"/>
      <c r="K17"/>
      <c r="M17"/>
    </row>
    <row r="18" spans="2:13" x14ac:dyDescent="0.3">
      <c r="B18" s="173" t="s">
        <v>38</v>
      </c>
      <c r="C18" s="174">
        <f t="shared" si="0"/>
        <v>1891.6666666666667</v>
      </c>
      <c r="D18" s="174">
        <v>0</v>
      </c>
      <c r="E18" s="175">
        <f t="shared" si="1"/>
        <v>0</v>
      </c>
      <c r="F18" s="176">
        <v>400</v>
      </c>
      <c r="G18" s="176">
        <v>0</v>
      </c>
      <c r="H18" s="177">
        <f t="shared" si="2"/>
        <v>0</v>
      </c>
      <c r="I18" s="178"/>
      <c r="J18"/>
      <c r="K18"/>
      <c r="M18"/>
    </row>
    <row r="19" spans="2:13" x14ac:dyDescent="0.3">
      <c r="B19" s="173" t="s">
        <v>39</v>
      </c>
      <c r="C19" s="174">
        <f t="shared" si="0"/>
        <v>1891.6666666666667</v>
      </c>
      <c r="D19" s="174">
        <v>0</v>
      </c>
      <c r="E19" s="175">
        <f t="shared" si="1"/>
        <v>0</v>
      </c>
      <c r="F19" s="176">
        <v>400</v>
      </c>
      <c r="G19" s="176">
        <v>0</v>
      </c>
      <c r="H19" s="177">
        <f t="shared" si="2"/>
        <v>0</v>
      </c>
      <c r="I19" s="178"/>
      <c r="J19"/>
      <c r="K19"/>
      <c r="M19"/>
    </row>
    <row r="20" spans="2:13" x14ac:dyDescent="0.3">
      <c r="B20" s="173" t="s">
        <v>40</v>
      </c>
      <c r="C20" s="174">
        <f t="shared" si="0"/>
        <v>1891.6666666666667</v>
      </c>
      <c r="D20" s="174">
        <v>0</v>
      </c>
      <c r="E20" s="175">
        <f t="shared" si="1"/>
        <v>0</v>
      </c>
      <c r="F20" s="176">
        <v>400</v>
      </c>
      <c r="G20" s="176">
        <v>0</v>
      </c>
      <c r="H20" s="177">
        <f t="shared" si="2"/>
        <v>0</v>
      </c>
      <c r="I20" s="178"/>
      <c r="J20"/>
      <c r="K20"/>
      <c r="M20"/>
    </row>
    <row r="21" spans="2:13" ht="16.2" thickBot="1" x14ac:dyDescent="0.35">
      <c r="B21" s="181" t="s">
        <v>41</v>
      </c>
      <c r="C21" s="182">
        <f t="shared" si="0"/>
        <v>1891.6666666666667</v>
      </c>
      <c r="D21" s="183">
        <v>0</v>
      </c>
      <c r="E21" s="184">
        <f t="shared" si="1"/>
        <v>0</v>
      </c>
      <c r="F21" s="185">
        <v>400</v>
      </c>
      <c r="G21" s="186">
        <v>0</v>
      </c>
      <c r="H21" s="187">
        <f t="shared" si="2"/>
        <v>0</v>
      </c>
      <c r="I21" s="178"/>
      <c r="J21"/>
      <c r="K21"/>
      <c r="M21"/>
    </row>
    <row r="22" spans="2:13" ht="16.2" thickTop="1" x14ac:dyDescent="0.3">
      <c r="B22" s="188"/>
      <c r="C22" s="189">
        <f>SUM(C10:C21)</f>
        <v>22700.000000000004</v>
      </c>
      <c r="D22" s="189">
        <f>SUM(D10:D21)</f>
        <v>0</v>
      </c>
      <c r="E22" s="190">
        <f t="shared" si="1"/>
        <v>0</v>
      </c>
      <c r="F22" s="191">
        <f>SUM(F10:F21)</f>
        <v>4800</v>
      </c>
      <c r="G22" s="191">
        <f>SUM(G10:G21)</f>
        <v>0</v>
      </c>
      <c r="H22" s="192">
        <f>G22/F22</f>
        <v>0</v>
      </c>
      <c r="I22" s="178"/>
      <c r="J22"/>
      <c r="K22"/>
      <c r="M22"/>
    </row>
    <row r="23" spans="2:13" x14ac:dyDescent="0.3">
      <c r="C23" s="194"/>
      <c r="D23" s="194"/>
      <c r="E23" s="194"/>
      <c r="F23" s="195"/>
      <c r="G23" s="194"/>
      <c r="H23" s="194"/>
      <c r="I23" s="195"/>
      <c r="J23" s="178"/>
      <c r="K23"/>
      <c r="M23"/>
    </row>
    <row r="24" spans="2:13" x14ac:dyDescent="0.3">
      <c r="B24" s="195"/>
      <c r="C24" s="194"/>
      <c r="D24" s="194"/>
      <c r="E24" s="194"/>
      <c r="F24" s="195"/>
      <c r="G24" s="178"/>
      <c r="J24"/>
      <c r="K24"/>
      <c r="M24"/>
    </row>
    <row r="25" spans="2:13" x14ac:dyDescent="0.3">
      <c r="B25"/>
      <c r="G25" s="179"/>
      <c r="H25" s="179"/>
      <c r="K25"/>
      <c r="M25"/>
    </row>
    <row r="26" spans="2:13" x14ac:dyDescent="0.3">
      <c r="B26"/>
      <c r="G26" s="179"/>
      <c r="H26" s="179"/>
      <c r="K26"/>
      <c r="M26"/>
    </row>
    <row r="27" spans="2:13" x14ac:dyDescent="0.3">
      <c r="B27"/>
      <c r="C27" s="196"/>
      <c r="G27" s="179"/>
      <c r="H27" s="179"/>
      <c r="K27"/>
      <c r="M27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Vermögensaufbau</vt:lpstr>
      <vt:lpstr>Sparen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Helf, Dominik</dc:creator>
  <cp:lastModifiedBy>Helf, Dominik</cp:lastModifiedBy>
  <dcterms:created xsi:type="dcterms:W3CDTF">2022-01-25T10:22:40Z</dcterms:created>
  <dcterms:modified xsi:type="dcterms:W3CDTF">2022-01-25T10:31:23Z</dcterms:modified>
</cp:coreProperties>
</file>